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SEP\INF_ELABORADA\"/>
    </mc:Choice>
  </mc:AlternateContent>
  <xr:revisionPtr revIDLastSave="0" documentId="8_{E41A2248-2016-43C7-A324-493A8D1DD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Dat_01!$A$85:$X$113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<sst xmlns="http://schemas.openxmlformats.org/spreadsheetml/2006/main" count="430" uniqueCount="135">
  <si>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</si>
  <si>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</si>
  <si>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</si>
  <si>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</si>
  <si>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</si>
  <si>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</si>
  <si>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</si>
  <si>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</si>
  <si>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</si>
  <si>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</si>
  <si>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</si>
  <si>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</si>
  <si>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</si>
  <si>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</si>
  <si>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</si>
  <si>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</si>
  <si>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</si>
  <si>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</si>
  <si>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</si>
  <si>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</si>
  <si>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</si>
  <si>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</si>
  <si>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</si>
  <si>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</si>
  <si>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</si>
  <si>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</si>
  <si>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</si>
  <si>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</si>
  <si>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</si>
  <si>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</si>
  <si>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</si>
  <si>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</si>
  <si>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</si>
  <si>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</si>
  <si>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</si>
  <si>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</si>
  <si>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</si>
  <si>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</si>
  <si>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</si>
  <si>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</si>
  <si>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</si>
  <si>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</si>
  <si>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</si>
  <si>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</si>
  <si>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</si>
  <si>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</si>
  <si>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</si>
  <si>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</si>
  <si>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</si>
  <si>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</si>
  <si>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</si>
  <si>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</si>
  <si>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</si>
  <si>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</si>
  <si>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</si>
  <si>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</si>
  <si>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</si>
  <si>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</si>
  <si>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</si>
  <si>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</si>
  <si>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</si>
  <si>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</si>
  <si>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</si>
  <si>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</si>
  <si>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</si>
  <si>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</si>
  <si>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</si>
  <si>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</si>
  <si>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</si>
  <si>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</si>
  <si>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</si>
  <si>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</si>
  <si>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</si>
  <si>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</si>
  <si>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</si>
  <si>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</si>
  <si>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</si>
  <si>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</si>
  <si>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</si>
  <si>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</si>
  <si>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</si>
  <si>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</si>
  <si>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</si>
  <si>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</si>
  <si>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</si>
  <si>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</si>
  <si>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</si>
  <si>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</si>
  <si>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</si>
  <si>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</si>
  <si>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</si>
  <si>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</si>
  <si>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</si>
  <si>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</si>
  <si>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</si>
  <si>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</si>
  <si>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</si>
  <si>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</si>
  <si>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</si>
  <si>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</si>
  <si>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</si>
  <si>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</si>
  <si>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</si>
  <si>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</si>
  <si>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</si>
  <si>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</si>
  <si>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</si>
  <si>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</si>
  <si>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</si>
  <si>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</si>
  <si>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</si>
  <si>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</si>
  <si>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</si>
  <si>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</si>
  <si>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</si>
  <si>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</si>
  <si>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</si>
  <si>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</si>
  <si>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</si>
  <si>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</si>
  <si>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</si>
  <si>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</si>
  <si>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</si>
  <si>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</si>
  <si>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</si>
  <si>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</si>
  <si>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</si>
  <si>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30/09/2024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</si>
  <si>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ut="10/09/2024 11:25:53" si="2.00000001c13c4caa2d0b9dff45eb882335bb69def5493200064b5b2ed1d2fc30eb91919986b97f0ac5054a54ddeddcc4d9c7e866c9fb67743551071f630b114314de85057f83d9bba9a79c0419d3ecf18c9da75c33362f39a8708d1d1543a9e2537966b68a65f524885d2ec755fa30eaf10039ceef256550f6f6b69667cd499d39e2b23c3073003c86e29848d0b3a5e6f67ec6dccc442ea9e6ec87095c3796703bf8.p.3082.0.1.Europe/Madrid.upriv*_1*_pidn2*_3*_session*-lat*_1.0000000173571f02994da260fb52c81d0ea31f77bc6025e0d23288175e3659f1df55e488ec955f61dddb074c76275495a1cdd800748a8536.0000000147e2e048c616c3d8d2c18de8f4672ababc6025e062ca71fcd48313e8f33389f246b30fc1501feb1cc99934633196b0e9da1fec84.0.1.1.BDEbi.D066E1C611E6257C10D00080EF253B44.0-3082.1.1_-0.1.0_-3082.1.1_5.5.0.*0.0000000101d6e3d08e17c0c671a276f65eae5e1cc911585a2acd447e855613785ae562353a78c70c.0.23.11*.2*.0400*.31152J.e.000000011ceef4817f9eb1a173a1c995a1b4ad2ec911585a9d4f67dd6bb8fa56504835e9fd2052e6.0.10*.131*.122*.122.0.0" msgID="3BC8395611EF863163450080EF65620E"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</si>
  <si>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ut="10/09/2024 11:33:31" si="2.00000001c13c4caa2d0b9dff45eb882335bb69def5493200064b5b2ed1d2fc30eb91919986b97f0ac5054a54ddeddcc4d9c7e866c9fb67743551071f630b114314de85057f83d9bba9a79c0419d3ecf18c9da75c33362f39a8708d1d1543a9e2537966b68a65f524885d2ec755fa30eaf10039ceef256550f6f6b69667cd499d39e2b23c3073003c86e29848d0b3a5e6f67ec6dccc442ea9e6ec87095c3796703bf8.p.3082.0.1.Europe/Madrid.upriv*_1*_pidn2*_3*_session*-lat*_1.0000000173571f02994da260fb52c81d0ea31f77bc6025e0d23288175e3659f1df55e488ec955f61dddb074c76275495a1cdd800748a8536.0000000147e2e048c616c3d8d2c18de8f4672ababc6025e062ca71fcd48313e8f33389f246b30fc1501feb1cc99934633196b0e9da1fec84.0.1.1.BDEbi.D066E1C611E6257C10D00080EF253B44.0-3082.1.1_-0.1.0_-3082.1.1_5.5.0.*0.0000000101d6e3d08e17c0c671a276f65eae5e1cc911585a2acd447e855613785ae562353a78c70c.0.23.11*.2*.0400*.31152J.e.000000011ceef4817f9eb1a173a1c995a1b4ad2ec911585a9d4f67dd6bb8fa56504835e9fd2052e6.0.10*.131*.122*.122.0.0" msgID="471980EE11EF863163450080EFF5820E"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nrr="1649" nrc="3104"&gt;&lt;pg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</si>
  <si>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Octubre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</si>
  <si>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ut="10/09/2024 12:02:52" si="2.00000001c13c4caa2d0b9dff45eb882335bb69def5493200064b5b2ed1d2fc30eb91919986b97f0ac5054a54ddeddcc4d9c7e866c9fb67743551071f630b114314de85057f83d9bba9a79c0419d3ecf18c9da75c33362f39a8708d1d1543a9e2537966b68a65f524885d2ec755fa30eaf10039ceef256550f6f6b69667cd499d39e2b23c3073003c86e29848d0b3a5e6f67ec6dccc442ea9e6ec87095c3796703bf8.p.3082.0.1.Europe/Madrid.upriv*_1*_pidn2*_3*_session*-lat*_1.0000000173571f02994da260fb52c81d0ea31f77bc6025e0d23288175e3659f1df55e488ec955f61dddb074c76275495a1cdd800748a8536.0000000147e2e048c616c3d8d2c18de8f4672ababc6025e062ca71fcd48313e8f33389f246b30fc1501feb1cc99934633196b0e9da1fec84.0.1.1.BDEbi.D066E1C611E6257C10D00080EF253B44.0-3082.1.1_-0.1.0_-3082.1.1_5.5.0.*0.0000000101d6e3d08e17c0c671a276f65eae5e1cc911585a2acd447e855613785ae562353a78c70c.0.23.11*.2*.0400*.31152J.e.000000011ceef4817f9eb1a173a1c995a1b4ad2ec911585a9d4f67dd6bb8fa56504835e9fd2052e6.0.10*.131*.122*.122.0.0" msgID="F5CFC9CE11EF863463450080EF25E310"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cols="24" /&gt;&lt;esdo ews="" ece="" ptn="" /&gt;&lt;/excel&gt;&lt;pgs&gt;&lt;pg rows="26" cols="22" nrr="2407" nrc="1833"&gt;&lt;pg /&gt;&lt;bls&gt;&lt;bl sr="1" sc="1" rfetch="26" cfetch="22" posid="1" darows="0" dacols="1"&gt;&lt;excel&gt;&lt;epo ews="Dat_01" ece="A85" enr="MSTR.Serie_Balance_B.C._Mensual_Baleares_y_Canarias" ptn="" qtn="" rows="29" cols="24" /&gt;&lt;esdo ews="" ece="" ptn="" /&gt;&lt;/excel&gt;&lt;gridRng&gt;&lt;sect id="TITLE_AREA" rngprop="1:1:3:2" /&gt;&lt;sect id="ROWHEADERS_AREA" rngprop="4:1:26:2" /&gt;&lt;sect id="COLUMNHEADERS_AREA" rngprop="1:3:3:22" /&gt;&lt;sect id="DATA_AREA" rngprop="4:3:26:22"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</si>
  <si>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ut="10/09/2024 12:05:25" si="2.00000001c5adaa2b736b582f7b8687c5a7167e1991c42ce16a042a95ada7e4adfed2da7d898f87a4a7f6f841daea748186314664c31a5049249876cbf5dd1d864a1988f45e94757f9360a27f234911f2230794b899ccc047e0f185531f15449a838f722a33832220f61d776bdb121dbf384b672ba18350be9b68972fd0868330ff6747c53ac2834f691529c4d0829d33a80198bcc06453387059bbe7e1f184f92081.p.3082.0.1.Europe/Madrid.upriv*_1*_pidn2*_35*_session*-lat*_1.0000000101f070dbb406403607215bad74348705bc6025e017fad3416d09920db512c634f460b700045a30c3d46fa43dce819211425136e4.0000000198f9471aecfececb04e0c65cadb9ec79bc6025e088b41f5e30041bafd7f8787cef9006f3010ea801638e008e68a1a007d912d93d.0.1.1.BDEbi.D066E1C611E6257C10D00080EF253B44.0-3082.1.1_-0.1.0_-3082.1.1_5.5.0.*0.00000001422b728a18165c9537b59da4fa45a921c911585ae33bb447d718c7228efd29c391cc2493.0.23.11*.2*.0400*.31152J.e.00000001d018551a546b23473e8134d8c6c5fd90c911585adbb0f8856638e11d1b42c91cff926d75.0.10*.131*.122*.122.0.0" msgID="B6AC4E3C11EF86369A360080EFB5EF96"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nrr="123" nrc="912"&gt;&lt;pg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</si>
  <si>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5d8443805abc428fade9ab8f496eb42a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</si>
  <si>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ut="10/09/2024 12:06:19" si="2.00000001c5adaa2b736b582f7b8687c5a7167e1991c42ce16a042a95ada7e4adfed2da7d898f87a4a7f6f841daea748186314664c31a5049249876cbf5dd1d864a1988f45e94757f9360a27f234911f2230794b899ccc047e0f185531f15449a838f722a33832220f61d776bdb121dbf384b672ba18350be9b68972fd0868330ff6747c53ac2834f691529c4d0829d33a80198bcc06453387059bbe7e1f184f92081.p.3082.0.1.Europe/Madrid.upriv*_1*_pidn2*_35*_session*-lat*_1.0000000101f070dbb406403607215bad74348705bc6025e017fad3416d09920db512c634f460b700045a30c3d46fa43dce819211425136e4.0000000198f9471aecfececb04e0c65cadb9ec79bc6025e088b41f5e30041bafd7f8787cef9006f3010ea801638e008e68a1a007d912d93d.0.1.1.BDEbi.D066E1C611E6257C10D00080EF253B44.0-3082.1.1_-0.1.0_-3082.1.1_5.5.0.*0.00000001422b728a18165c9537b59da4fa45a921c911585ae33bb447d718c7228efd29c391cc2493.0.23.11*.2*.0400*.31152J.e.00000001d018551a546b23473e8134d8c6c5fd90c911585adbb0f8856638e11d1b42c91cff926d75.0.10*.131*.122*.122.0.0" msgID="D904C48D11EF86369A360080EF95B098"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nrr="79" nrc="960"&gt;&lt;pg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</si>
</sst>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07"/>
                  <c:y val="-2.3534645669291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245118750400103"/>
                  <c:y val="1.611122047244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1382101017860573"/>
                  <c:y val="0.23156850393700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70083861468536"/>
                  <c:y val="-1.306653543307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024390243902439"/>
                  <c:y val="-6.7824803149606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8842225209653671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6.5757173560546391</c:v>
                </c:pt>
                <c:pt idx="2">
                  <c:v>6.5318571696797862</c:v>
                </c:pt>
                <c:pt idx="3">
                  <c:v>44.149020352199472</c:v>
                </c:pt>
                <c:pt idx="4">
                  <c:v>0</c:v>
                </c:pt>
                <c:pt idx="5">
                  <c:v>0.50029003442772135</c:v>
                </c:pt>
                <c:pt idx="6">
                  <c:v>2.5557510182098389</c:v>
                </c:pt>
                <c:pt idx="7">
                  <c:v>2.5557510182098389</c:v>
                </c:pt>
                <c:pt idx="8">
                  <c:v>0</c:v>
                </c:pt>
                <c:pt idx="9">
                  <c:v>7.8991751883340653</c:v>
                </c:pt>
                <c:pt idx="10">
                  <c:v>6.5677849859289858E-2</c:v>
                </c:pt>
                <c:pt idx="11">
                  <c:v>29.166760013025357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10.78108372772213</c:v>
                </c:pt>
                <c:pt idx="1">
                  <c:v>6.2308585059886612</c:v>
                </c:pt>
                <c:pt idx="2">
                  <c:v>26.957179088678345</c:v>
                </c:pt>
                <c:pt idx="3">
                  <c:v>36.781732170574379</c:v>
                </c:pt>
                <c:pt idx="4">
                  <c:v>0</c:v>
                </c:pt>
                <c:pt idx="5">
                  <c:v>0.51505152485299388</c:v>
                </c:pt>
                <c:pt idx="6">
                  <c:v>1.6716937455091527</c:v>
                </c:pt>
                <c:pt idx="7">
                  <c:v>1.6716937455091527</c:v>
                </c:pt>
                <c:pt idx="8">
                  <c:v>0.15945902238245729</c:v>
                </c:pt>
                <c:pt idx="9">
                  <c:v>15.055497137035612</c:v>
                </c:pt>
                <c:pt idx="10">
                  <c:v>0.17575133174711202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-0.82337800000000005</c:v>
                </c:pt>
                <c:pt idx="1">
                  <c:v>-0.82724900000000001</c:v>
                </c:pt>
                <c:pt idx="2">
                  <c:v>-0.89542500000000003</c:v>
                </c:pt>
                <c:pt idx="3">
                  <c:v>-0.69586499999999996</c:v>
                </c:pt>
                <c:pt idx="4">
                  <c:v>-0.70605399999999996</c:v>
                </c:pt>
                <c:pt idx="5">
                  <c:v>-0.66276199999999996</c:v>
                </c:pt>
                <c:pt idx="6">
                  <c:v>-0.710283</c:v>
                </c:pt>
                <c:pt idx="7">
                  <c:v>-0.939218</c:v>
                </c:pt>
                <c:pt idx="8">
                  <c:v>22.073955999999999</c:v>
                </c:pt>
                <c:pt idx="9">
                  <c:v>26.418958</c:v>
                </c:pt>
                <c:pt idx="10">
                  <c:v>1.554179</c:v>
                </c:pt>
                <c:pt idx="11">
                  <c:v>-0.75178999999999996</c:v>
                </c:pt>
                <c:pt idx="12">
                  <c:v>-0.70974400000000004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82.054295999999994</c:v>
                </c:pt>
                <c:pt idx="1">
                  <c:v>61.254111000000002</c:v>
                </c:pt>
                <c:pt idx="2">
                  <c:v>30.185099999999998</c:v>
                </c:pt>
                <c:pt idx="3">
                  <c:v>28.871046999999997</c:v>
                </c:pt>
                <c:pt idx="4">
                  <c:v>30.443576</c:v>
                </c:pt>
                <c:pt idx="5">
                  <c:v>28.621776999999998</c:v>
                </c:pt>
                <c:pt idx="6">
                  <c:v>30.374336</c:v>
                </c:pt>
                <c:pt idx="7">
                  <c:v>47.711207999999999</c:v>
                </c:pt>
                <c:pt idx="8">
                  <c:v>41.291938999999999</c:v>
                </c:pt>
                <c:pt idx="9">
                  <c:v>61.203187</c:v>
                </c:pt>
                <c:pt idx="10">
                  <c:v>103.43266399999999</c:v>
                </c:pt>
                <c:pt idx="11">
                  <c:v>120.37340399999999</c:v>
                </c:pt>
                <c:pt idx="12">
                  <c:v>72.807096999999999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296.32292799999999</c:v>
                </c:pt>
                <c:pt idx="1">
                  <c:v>247.112684</c:v>
                </c:pt>
                <c:pt idx="2">
                  <c:v>224.26124200000001</c:v>
                </c:pt>
                <c:pt idx="3">
                  <c:v>233.91494</c:v>
                </c:pt>
                <c:pt idx="4">
                  <c:v>244.02029300000001</c:v>
                </c:pt>
                <c:pt idx="5">
                  <c:v>218.49136100000001</c:v>
                </c:pt>
                <c:pt idx="6">
                  <c:v>213.548517</c:v>
                </c:pt>
                <c:pt idx="7">
                  <c:v>205.68247400000001</c:v>
                </c:pt>
                <c:pt idx="8">
                  <c:v>206.763338</c:v>
                </c:pt>
                <c:pt idx="9">
                  <c:v>212.499032</c:v>
                </c:pt>
                <c:pt idx="10">
                  <c:v>272.94692199999997</c:v>
                </c:pt>
                <c:pt idx="11">
                  <c:v>333.50170400000002</c:v>
                </c:pt>
                <c:pt idx="12">
                  <c:v>245.22935200000001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</c:v>
                </c:pt>
                <c:pt idx="1">
                  <c:v>1.0359999999999999E-2</c:v>
                </c:pt>
                <c:pt idx="2">
                  <c:v>8.7279999999999996E-3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34.850726000000002</c:v>
                </c:pt>
                <c:pt idx="1">
                  <c:v>32.896220999999997</c:v>
                </c:pt>
                <c:pt idx="2">
                  <c:v>24.884706000000001</c:v>
                </c:pt>
                <c:pt idx="3">
                  <c:v>22.636651000000001</c:v>
                </c:pt>
                <c:pt idx="4">
                  <c:v>24.18449</c:v>
                </c:pt>
                <c:pt idx="5">
                  <c:v>30.778489</c:v>
                </c:pt>
                <c:pt idx="6">
                  <c:v>45.305076999999997</c:v>
                </c:pt>
                <c:pt idx="7">
                  <c:v>44.568354999999997</c:v>
                </c:pt>
                <c:pt idx="8">
                  <c:v>58.305483000000002</c:v>
                </c:pt>
                <c:pt idx="9">
                  <c:v>53.291172000000003</c:v>
                </c:pt>
                <c:pt idx="10">
                  <c:v>60.161617</c:v>
                </c:pt>
                <c:pt idx="11">
                  <c:v>55.452837000000002</c:v>
                </c:pt>
                <c:pt idx="12">
                  <c:v>43.876615999999999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0.14128099999999999</c:v>
                </c:pt>
                <c:pt idx="1">
                  <c:v>0.14801500000000001</c:v>
                </c:pt>
                <c:pt idx="2">
                  <c:v>0.14354</c:v>
                </c:pt>
                <c:pt idx="3">
                  <c:v>0.12625700000000001</c:v>
                </c:pt>
                <c:pt idx="4">
                  <c:v>0.10423</c:v>
                </c:pt>
                <c:pt idx="5">
                  <c:v>3.9530000000000003E-2</c:v>
                </c:pt>
                <c:pt idx="6">
                  <c:v>4.0002000000000003E-2</c:v>
                </c:pt>
                <c:pt idx="7">
                  <c:v>1.5544000000000001E-2</c:v>
                </c:pt>
                <c:pt idx="8">
                  <c:v>4.1384999999999998E-2</c:v>
                </c:pt>
                <c:pt idx="9">
                  <c:v>7.8099000000000002E-2</c:v>
                </c:pt>
                <c:pt idx="10">
                  <c:v>0.18402499999999999</c:v>
                </c:pt>
                <c:pt idx="11">
                  <c:v>0.28992600000000002</c:v>
                </c:pt>
                <c:pt idx="12">
                  <c:v>0.364813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2.995241</c:v>
                </c:pt>
                <c:pt idx="1">
                  <c:v>1.6210690000000001</c:v>
                </c:pt>
                <c:pt idx="2">
                  <c:v>1.996553</c:v>
                </c:pt>
                <c:pt idx="3">
                  <c:v>3.1565249999999998</c:v>
                </c:pt>
                <c:pt idx="4">
                  <c:v>3.9370180000000001</c:v>
                </c:pt>
                <c:pt idx="5">
                  <c:v>3.7397490000000002</c:v>
                </c:pt>
                <c:pt idx="6">
                  <c:v>3.4851179999999999</c:v>
                </c:pt>
                <c:pt idx="7">
                  <c:v>1.9095409999999999</c:v>
                </c:pt>
                <c:pt idx="8">
                  <c:v>3.5397620000000001</c:v>
                </c:pt>
                <c:pt idx="9">
                  <c:v>3.4609559999999999</c:v>
                </c:pt>
                <c:pt idx="10">
                  <c:v>3.2774670000000001</c:v>
                </c:pt>
                <c:pt idx="11">
                  <c:v>3.1243509999999999</c:v>
                </c:pt>
                <c:pt idx="12">
                  <c:v>2.778902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9.9340825000000006</c:v>
                </c:pt>
                <c:pt idx="1">
                  <c:v>10.861402</c:v>
                </c:pt>
                <c:pt idx="2">
                  <c:v>10.810193999999999</c:v>
                </c:pt>
                <c:pt idx="3">
                  <c:v>8.9918355000000005</c:v>
                </c:pt>
                <c:pt idx="4">
                  <c:v>10.485035</c:v>
                </c:pt>
                <c:pt idx="5">
                  <c:v>5.6085469999999997</c:v>
                </c:pt>
                <c:pt idx="6">
                  <c:v>12.829401000000001</c:v>
                </c:pt>
                <c:pt idx="7">
                  <c:v>11.323399</c:v>
                </c:pt>
                <c:pt idx="8">
                  <c:v>12.2750895</c:v>
                </c:pt>
                <c:pt idx="9">
                  <c:v>16.584269500000001</c:v>
                </c:pt>
                <c:pt idx="10">
                  <c:v>15.726691000000001</c:v>
                </c:pt>
                <c:pt idx="11">
                  <c:v>15.578734000000001</c:v>
                </c:pt>
                <c:pt idx="12">
                  <c:v>14.1961285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9.9340825000000006</c:v>
                </c:pt>
                <c:pt idx="1">
                  <c:v>10.861402</c:v>
                </c:pt>
                <c:pt idx="2">
                  <c:v>10.810193999999999</c:v>
                </c:pt>
                <c:pt idx="3">
                  <c:v>8.9918355000000005</c:v>
                </c:pt>
                <c:pt idx="4">
                  <c:v>10.485035</c:v>
                </c:pt>
                <c:pt idx="5">
                  <c:v>5.6085469999999997</c:v>
                </c:pt>
                <c:pt idx="6">
                  <c:v>12.829401000000001</c:v>
                </c:pt>
                <c:pt idx="7">
                  <c:v>11.323399</c:v>
                </c:pt>
                <c:pt idx="8">
                  <c:v>12.2750895</c:v>
                </c:pt>
                <c:pt idx="9">
                  <c:v>16.584269500000001</c:v>
                </c:pt>
                <c:pt idx="10">
                  <c:v>15.726691000000001</c:v>
                </c:pt>
                <c:pt idx="11">
                  <c:v>15.578734000000001</c:v>
                </c:pt>
                <c:pt idx="12">
                  <c:v>14.1961285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130.854702</c:v>
                </c:pt>
                <c:pt idx="1">
                  <c:v>131.44748999999999</c:v>
                </c:pt>
                <c:pt idx="2">
                  <c:v>70.735690000000005</c:v>
                </c:pt>
                <c:pt idx="3">
                  <c:v>112.440268</c:v>
                </c:pt>
                <c:pt idx="4">
                  <c:v>122.760274</c:v>
                </c:pt>
                <c:pt idx="5">
                  <c:v>114.74408200000001</c:v>
                </c:pt>
                <c:pt idx="6">
                  <c:v>110.667727</c:v>
                </c:pt>
                <c:pt idx="7">
                  <c:v>109.36235000000001</c:v>
                </c:pt>
                <c:pt idx="8">
                  <c:v>117.764884</c:v>
                </c:pt>
                <c:pt idx="9">
                  <c:v>145.36358899999999</c:v>
                </c:pt>
                <c:pt idx="10">
                  <c:v>208.454387</c:v>
                </c:pt>
                <c:pt idx="11">
                  <c:v>187.956546</c:v>
                </c:pt>
                <c:pt idx="12">
                  <c:v>162.00915900000001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14.622108518633253</c:v>
                </c:pt>
                <c:pt idx="1">
                  <c:v>15.614927018042547</c:v>
                </c:pt>
                <c:pt idx="2">
                  <c:v>14.472181230894007</c:v>
                </c:pt>
                <c:pt idx="3">
                  <c:v>25.949414961908822</c:v>
                </c:pt>
                <c:pt idx="4">
                  <c:v>1.145444478327845</c:v>
                </c:pt>
                <c:pt idx="5">
                  <c:v>4.5577895472731E-2</c:v>
                </c:pt>
                <c:pt idx="6">
                  <c:v>0.33943537944165458</c:v>
                </c:pt>
                <c:pt idx="7">
                  <c:v>19.331924335673953</c:v>
                </c:pt>
                <c:pt idx="8">
                  <c:v>8.2560143192793873</c:v>
                </c:pt>
                <c:pt idx="9">
                  <c:v>0.22297186232580773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-3.980393700787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0.30569105691056908"/>
                  <c:y val="9.5866338582676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585365853658537"/>
                  <c:y val="9.0644488188976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8536598169131285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21.036835370230019</c:v>
                </c:pt>
                <c:pt idx="1">
                  <c:v>3.2943276164895812</c:v>
                </c:pt>
                <c:pt idx="2">
                  <c:v>10.000356731189289</c:v>
                </c:pt>
                <c:pt idx="3">
                  <c:v>40.021386806519779</c:v>
                </c:pt>
                <c:pt idx="4">
                  <c:v>0</c:v>
                </c:pt>
                <c:pt idx="5">
                  <c:v>3.7527968942604406E-2</c:v>
                </c:pt>
                <c:pt idx="6">
                  <c:v>0.30817778643362376</c:v>
                </c:pt>
                <c:pt idx="7">
                  <c:v>20.181477237332803</c:v>
                </c:pt>
                <c:pt idx="8">
                  <c:v>4.9690748460295149</c:v>
                </c:pt>
                <c:pt idx="9">
                  <c:v>0.15083563683278006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0.28924100000000003</c:v>
                </c:pt>
                <c:pt idx="1">
                  <c:v>0.30332900000000002</c:v>
                </c:pt>
                <c:pt idx="2">
                  <c:v>0.28045300000000001</c:v>
                </c:pt>
                <c:pt idx="3">
                  <c:v>0.30560300000000001</c:v>
                </c:pt>
                <c:pt idx="4">
                  <c:v>0.29624200000000001</c:v>
                </c:pt>
                <c:pt idx="5">
                  <c:v>0.28508299999999998</c:v>
                </c:pt>
                <c:pt idx="6">
                  <c:v>0.272924</c:v>
                </c:pt>
                <c:pt idx="7">
                  <c:v>0.258407</c:v>
                </c:pt>
                <c:pt idx="8">
                  <c:v>0.28213199999999999</c:v>
                </c:pt>
                <c:pt idx="9">
                  <c:v>0.27541500000000002</c:v>
                </c:pt>
                <c:pt idx="10">
                  <c:v>0.290603</c:v>
                </c:pt>
                <c:pt idx="11">
                  <c:v>0.28181699999999998</c:v>
                </c:pt>
                <c:pt idx="12">
                  <c:v>0.27621200000000001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278.46901400000002</c:v>
                </c:pt>
                <c:pt idx="1">
                  <c:v>329.55548099999999</c:v>
                </c:pt>
                <c:pt idx="2">
                  <c:v>283.46044599999999</c:v>
                </c:pt>
                <c:pt idx="3">
                  <c:v>293.93341900000001</c:v>
                </c:pt>
                <c:pt idx="4">
                  <c:v>313.17357400000003</c:v>
                </c:pt>
                <c:pt idx="5">
                  <c:v>271.07811399999997</c:v>
                </c:pt>
                <c:pt idx="6">
                  <c:v>294.881663</c:v>
                </c:pt>
                <c:pt idx="7">
                  <c:v>257.29920000000004</c:v>
                </c:pt>
                <c:pt idx="8">
                  <c:v>262.610321</c:v>
                </c:pt>
                <c:pt idx="9">
                  <c:v>252.95584600000001</c:v>
                </c:pt>
                <c:pt idx="10">
                  <c:v>278.93440799999996</c:v>
                </c:pt>
                <c:pt idx="11">
                  <c:v>266.24014199999999</c:v>
                </c:pt>
                <c:pt idx="12">
                  <c:v>252.68561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329.65078499999998</c:v>
                </c:pt>
                <c:pt idx="1">
                  <c:v>385.37423100000001</c:v>
                </c:pt>
                <c:pt idx="2">
                  <c:v>320.60776499999997</c:v>
                </c:pt>
                <c:pt idx="3">
                  <c:v>343.70541600000001</c:v>
                </c:pt>
                <c:pt idx="4">
                  <c:v>348.60822999999999</c:v>
                </c:pt>
                <c:pt idx="5">
                  <c:v>282.95672999999999</c:v>
                </c:pt>
                <c:pt idx="6">
                  <c:v>305.966994</c:v>
                </c:pt>
                <c:pt idx="7">
                  <c:v>315.19474500000001</c:v>
                </c:pt>
                <c:pt idx="8">
                  <c:v>259.74817300000001</c:v>
                </c:pt>
                <c:pt idx="9">
                  <c:v>269.75380799999999</c:v>
                </c:pt>
                <c:pt idx="10">
                  <c:v>264.109264</c:v>
                </c:pt>
                <c:pt idx="11">
                  <c:v>258.28017799999998</c:v>
                </c:pt>
                <c:pt idx="12">
                  <c:v>294.563964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1.3149919999999999</c:v>
                </c:pt>
                <c:pt idx="1">
                  <c:v>0.44324000000000002</c:v>
                </c:pt>
                <c:pt idx="2">
                  <c:v>1.0899650000000001</c:v>
                </c:pt>
                <c:pt idx="3">
                  <c:v>0.66913</c:v>
                </c:pt>
                <c:pt idx="4">
                  <c:v>0.66808100000000004</c:v>
                </c:pt>
                <c:pt idx="5">
                  <c:v>1.414679</c:v>
                </c:pt>
                <c:pt idx="6">
                  <c:v>1.5891550000000001</c:v>
                </c:pt>
                <c:pt idx="7">
                  <c:v>1.2945469999999999</c:v>
                </c:pt>
                <c:pt idx="8">
                  <c:v>2.2523740000000001</c:v>
                </c:pt>
                <c:pt idx="9">
                  <c:v>2.6292490000000002</c:v>
                </c:pt>
                <c:pt idx="10">
                  <c:v>3.5113029999999998</c:v>
                </c:pt>
                <c:pt idx="11">
                  <c:v>3.975784</c:v>
                </c:pt>
                <c:pt idx="12">
                  <c:v>2.2682389999999999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103.255752</c:v>
                </c:pt>
                <c:pt idx="1">
                  <c:v>57.760353000000002</c:v>
                </c:pt>
                <c:pt idx="2">
                  <c:v>99.230602000000005</c:v>
                </c:pt>
                <c:pt idx="3">
                  <c:v>70.608433000000005</c:v>
                </c:pt>
                <c:pt idx="4">
                  <c:v>53.195481000000001</c:v>
                </c:pt>
                <c:pt idx="5">
                  <c:v>108.751255</c:v>
                </c:pt>
                <c:pt idx="6">
                  <c:v>89.282236999999995</c:v>
                </c:pt>
                <c:pt idx="7">
                  <c:v>94.671989999999994</c:v>
                </c:pt>
                <c:pt idx="8">
                  <c:v>147.019094</c:v>
                </c:pt>
                <c:pt idx="9">
                  <c:v>129.86778200000001</c:v>
                </c:pt>
                <c:pt idx="10">
                  <c:v>169.43657200000001</c:v>
                </c:pt>
                <c:pt idx="11">
                  <c:v>210.63246799999999</c:v>
                </c:pt>
                <c:pt idx="12">
                  <c:v>148.53897900000001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31.407260000000001</c:v>
                </c:pt>
                <c:pt idx="1">
                  <c:v>29.906251000000001</c:v>
                </c:pt>
                <c:pt idx="2">
                  <c:v>25.097702999999999</c:v>
                </c:pt>
                <c:pt idx="3">
                  <c:v>23.682936000000002</c:v>
                </c:pt>
                <c:pt idx="4">
                  <c:v>24.702621000000001</c:v>
                </c:pt>
                <c:pt idx="5">
                  <c:v>26.401495000000001</c:v>
                </c:pt>
                <c:pt idx="6">
                  <c:v>31.905954000000001</c:v>
                </c:pt>
                <c:pt idx="7">
                  <c:v>35.953691999999997</c:v>
                </c:pt>
                <c:pt idx="8">
                  <c:v>35.545333999999997</c:v>
                </c:pt>
                <c:pt idx="9">
                  <c:v>36.232920999999997</c:v>
                </c:pt>
                <c:pt idx="10">
                  <c:v>42.799511000000003</c:v>
                </c:pt>
                <c:pt idx="11">
                  <c:v>40.849065000000003</c:v>
                </c:pt>
                <c:pt idx="12">
                  <c:v>36.573205000000002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sep.-23</c:v>
                </c:pt>
                <c:pt idx="1">
                  <c:v>oct.-23</c:v>
                </c:pt>
                <c:pt idx="2">
                  <c:v>nov.-23</c:v>
                </c:pt>
                <c:pt idx="3">
                  <c:v>dic.-23</c:v>
                </c:pt>
                <c:pt idx="4">
                  <c:v>ene.-24</c:v>
                </c:pt>
                <c:pt idx="5">
                  <c:v>feb.-24</c:v>
                </c:pt>
                <c:pt idx="6">
                  <c:v>mar.-24</c:v>
                </c:pt>
                <c:pt idx="7">
                  <c:v>abr.-24</c:v>
                </c:pt>
                <c:pt idx="8">
                  <c:v>may.-24</c:v>
                </c:pt>
                <c:pt idx="9">
                  <c:v>jun.-24</c:v>
                </c:pt>
                <c:pt idx="10">
                  <c:v>jul.-24</c:v>
                </c:pt>
                <c:pt idx="11">
                  <c:v>ago.-24</c:v>
                </c:pt>
                <c:pt idx="12">
                  <c:v>sep.-24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0.37211699999999998</c:v>
                </c:pt>
                <c:pt idx="1">
                  <c:v>0.524733</c:v>
                </c:pt>
                <c:pt idx="2">
                  <c:v>0.42454199999999997</c:v>
                </c:pt>
                <c:pt idx="3">
                  <c:v>0.44537900000000002</c:v>
                </c:pt>
                <c:pt idx="4">
                  <c:v>0.50013399999999997</c:v>
                </c:pt>
                <c:pt idx="5">
                  <c:v>0.49944300000000003</c:v>
                </c:pt>
                <c:pt idx="6">
                  <c:v>0.57839200000000002</c:v>
                </c:pt>
                <c:pt idx="7">
                  <c:v>0.26424700000000001</c:v>
                </c:pt>
                <c:pt idx="8">
                  <c:v>0.430983</c:v>
                </c:pt>
                <c:pt idx="9">
                  <c:v>0.49796200000000002</c:v>
                </c:pt>
                <c:pt idx="10">
                  <c:v>0.62341999999999997</c:v>
                </c:pt>
                <c:pt idx="11">
                  <c:v>1.3289139999999999</c:v>
                </c:pt>
                <c:pt idx="12">
                  <c:v>1.1101749999999999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Septiembre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Septiembre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Septiembre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554.74845200000004</v>
      </c>
      <c r="G9" s="147">
        <f>Dat_01!T24*100</f>
        <v>-2.03359383</v>
      </c>
      <c r="H9" s="75">
        <f>Dat_01!U24/1000</f>
        <v>4689.1415640000005</v>
      </c>
      <c r="I9" s="147">
        <f>Dat_01!W24*100</f>
        <v>-0.56142650999999999</v>
      </c>
      <c r="J9" s="75">
        <f>Dat_01!X24/1000</f>
        <v>5975.9010849999995</v>
      </c>
      <c r="K9" s="147">
        <f>Dat_01!Y24*100</f>
        <v>0.5389351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0.23700000000000002</v>
      </c>
      <c r="H12" s="94"/>
      <c r="I12" s="94">
        <f>Dat_01!H152*100</f>
        <v>-6.9999999999999993E-2</v>
      </c>
      <c r="J12" s="94"/>
      <c r="K12" s="94">
        <f>Dat_01!L152*100</f>
        <v>-0.10100000000000001</v>
      </c>
    </row>
    <row r="13" spans="3:12">
      <c r="E13" s="77" t="s">
        <v>42</v>
      </c>
      <c r="F13" s="76"/>
      <c r="G13" s="94">
        <f>Dat_01!E152*100</f>
        <v>-1.129</v>
      </c>
      <c r="H13" s="94"/>
      <c r="I13" s="94">
        <f>Dat_01!I152*100</f>
        <v>-1.5669999999999999</v>
      </c>
      <c r="J13" s="94"/>
      <c r="K13" s="94">
        <f>Dat_01!M152*100</f>
        <v>-1.1830000000000001</v>
      </c>
    </row>
    <row r="14" spans="3:12">
      <c r="E14" s="78" t="s">
        <v>43</v>
      </c>
      <c r="F14" s="79"/>
      <c r="G14" s="95">
        <f>Dat_01!F152*100</f>
        <v>-1.1419999999999999</v>
      </c>
      <c r="H14" s="95"/>
      <c r="I14" s="95">
        <f>Dat_01!J152*100</f>
        <v>1.0760000000000001</v>
      </c>
      <c r="J14" s="95"/>
      <c r="K14" s="95">
        <f>Dat_01!N152*100</f>
        <v>1.823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Septiembre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Septiembre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736.01638400000002</v>
      </c>
      <c r="G9" s="147">
        <f>Dat_01!AB24*100</f>
        <v>-1.17390661</v>
      </c>
      <c r="H9" s="75">
        <f>Dat_01!AC24/1000</f>
        <v>6539.3565360000002</v>
      </c>
      <c r="I9" s="147">
        <f>Dat_01!AE24*100</f>
        <v>0.83143474999999989</v>
      </c>
      <c r="J9" s="75">
        <f>Dat_01!AF24/1000</f>
        <v>8806.7659460000013</v>
      </c>
      <c r="K9" s="147">
        <f>Dat_01!AG24*100</f>
        <v>1.8939322799999998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-0.23500000000000001</v>
      </c>
      <c r="H12" s="94"/>
      <c r="I12" s="94">
        <f>Dat_01!H158*100</f>
        <v>-3.6000000000000004E-2</v>
      </c>
      <c r="J12" s="94"/>
      <c r="K12" s="94">
        <f>Dat_01!L158*100</f>
        <v>-5.1999999999999998E-2</v>
      </c>
    </row>
    <row r="13" spans="3:12">
      <c r="E13" s="77" t="s">
        <v>42</v>
      </c>
      <c r="F13" s="76"/>
      <c r="G13" s="94">
        <f>Dat_01!E158*100</f>
        <v>-8.0000000000000002E-3</v>
      </c>
      <c r="H13" s="94"/>
      <c r="I13" s="94">
        <f>Dat_01!I158*100</f>
        <v>-0.318</v>
      </c>
      <c r="J13" s="94"/>
      <c r="K13" s="94">
        <f>Dat_01!M158*100</f>
        <v>-5.9000000000000004E-2</v>
      </c>
    </row>
    <row r="14" spans="3:12">
      <c r="E14" s="78" t="s">
        <v>43</v>
      </c>
      <c r="F14" s="79"/>
      <c r="G14" s="95">
        <f>Dat_01!F158*100</f>
        <v>-0.93100000000000005</v>
      </c>
      <c r="H14" s="95"/>
      <c r="I14" s="95">
        <f>Dat_01!J158*100</f>
        <v>1.1850000000000001</v>
      </c>
      <c r="J14" s="95"/>
      <c r="K14" s="95">
        <f>Dat_01!N158*100</f>
        <v>2.0049999999999999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133</v>
      </c>
    </row>
    <row r="2" spans="1:2">
      <c r="A2" t="s">
        <v>128</v>
      </c>
    </row>
    <row r="3" spans="1:2">
      <c r="A3" t="s">
        <v>129</v>
      </c>
    </row>
    <row r="4" spans="1:2">
      <c r="A4" t="s">
        <v>131</v>
      </c>
    </row>
    <row r="5" spans="1:2">
      <c r="A5" t="s">
        <v>132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T30" sqref="T30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Septiembre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0.27621200000000001</v>
      </c>
      <c r="I9" s="14">
        <f>IF(Dat_01!AB8*100=-100,"-",Dat_01!AB8*100)</f>
        <v>-4.50454811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2.2682389999999999</v>
      </c>
      <c r="I10" s="14">
        <f>Dat_01!AB15*100</f>
        <v>72.490707170000007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148.53897899999998</v>
      </c>
      <c r="I11" s="14">
        <f>Dat_01!AB16*100</f>
        <v>43.855403809999999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43.876615999999999</v>
      </c>
      <c r="G12" s="14">
        <f>Dat_01!T17*100</f>
        <v>25.898714420000001</v>
      </c>
      <c r="H12" s="138">
        <f>Dat_01!Z17/1000</f>
        <v>36.573205000000002</v>
      </c>
      <c r="I12" s="14">
        <f>Dat_01!AB17*100</f>
        <v>16.44825114</v>
      </c>
      <c r="J12" s="138" t="s">
        <v>3</v>
      </c>
      <c r="K12" s="14" t="s">
        <v>3</v>
      </c>
      <c r="L12" s="138">
        <f>Dat_01!J17/1000</f>
        <v>6.7729999999999995E-3</v>
      </c>
      <c r="M12" s="14">
        <f>IF(Dat_01!L17*100=-100,"-",Dat_01!L17*100)</f>
        <v>1.92626035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0.364813</v>
      </c>
      <c r="G13" s="14">
        <f>IF(Dat_01!T18=-100%,"-",Dat_01!T18*100)</f>
        <v>158.21801941000001</v>
      </c>
      <c r="H13" s="138">
        <f>Dat_01!Z18/1000</f>
        <v>1.1101749999999999</v>
      </c>
      <c r="I13" s="14">
        <f>IF(Dat_01!AB18*100=-100,"-",Dat_01!AB18*100)</f>
        <v>198.34030695000001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14.1961285</v>
      </c>
      <c r="G14" s="14">
        <f>Dat_01!T21*100</f>
        <v>42.90326761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0.46726499999999999</v>
      </c>
      <c r="M14" s="14">
        <f>Dat_01!L21*100</f>
        <v>8.3189028700000005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58.437557499999997</v>
      </c>
      <c r="G15" s="156">
        <f>((SUM(Dat_01!R8,Dat_01!R15:R18,Dat_01!R20)/SUM(Dat_01!S8,Dat_01!S15:S18,Dat_01!S20))-1)*100</f>
        <v>30.074881099989792</v>
      </c>
      <c r="H15" s="155">
        <f>SUM(H9:H14)</f>
        <v>188.76680999999999</v>
      </c>
      <c r="I15" s="156">
        <f>((SUM(Dat_01!Z8,Dat_01!Z15:Z18,Dat_01!Z20)/SUM(Dat_01!AA8,Dat_01!AA15:AA18,Dat_01!AA20))-1)*100</f>
        <v>38.149657051238293</v>
      </c>
      <c r="J15" s="155" t="s">
        <v>3</v>
      </c>
      <c r="K15" s="156" t="s">
        <v>3</v>
      </c>
      <c r="L15" s="156">
        <f>SUM(L9:L14)</f>
        <v>0.47403799999999996</v>
      </c>
      <c r="M15" s="156">
        <f>((SUM(Dat_01!J8,Dat_01!J15:J18,Dat_01!J21)/SUM(Dat_01!K8,Dat_01!K15:K18,Dat_01!K20))-1)*100</f>
        <v>8.2219239128449537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-0.70974400000000004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36.525360999999997</v>
      </c>
      <c r="G17" s="20">
        <f>((SUM(Dat_01!R10,Dat_01!R14)/SUM(Dat_01!S10,Dat_01!S14))-1)*100</f>
        <v>11.417018599121963</v>
      </c>
      <c r="H17" s="139">
        <f>SUM(Dat_01!Z10,Dat_01!Z14)/1000</f>
        <v>154.83455499999999</v>
      </c>
      <c r="I17" s="20">
        <f>((SUM(Dat_01!Z10,Dat_01!Z14)/SUM(Dat_01!AA10,Dat_01!AA14))-1)*100</f>
        <v>4.1952676437628789E-2</v>
      </c>
      <c r="J17" s="139">
        <f>Dat_01!B10/1000</f>
        <v>16.065100000000001</v>
      </c>
      <c r="K17" s="20">
        <f>Dat_01!D10*100</f>
        <v>3.4901172499999999</v>
      </c>
      <c r="L17" s="139">
        <f>Dat_01!J10/1000</f>
        <v>17.437604999999998</v>
      </c>
      <c r="M17" s="20">
        <f>Dat_01!L10*100</f>
        <v>6.7268707699999997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36.281735999999995</v>
      </c>
      <c r="G18" s="20">
        <f>Dat_01!T11*100</f>
        <v>-26.363985579999998</v>
      </c>
      <c r="H18" s="139">
        <f>Dat_01!Z11/1000</f>
        <v>24.246791000000002</v>
      </c>
      <c r="I18" s="20">
        <f>Dat_01!AB11*100</f>
        <v>33.308792109999999</v>
      </c>
      <c r="J18" s="139">
        <f>Dat_01!B11/1000</f>
        <v>0.26190199999999997</v>
      </c>
      <c r="K18" s="20">
        <f>IF(Dat_01!D11=-100%,"-",Dat_01!D11*100)</f>
        <v>44.384537359999996</v>
      </c>
      <c r="L18" s="139">
        <f>Dat_01!J11/1000</f>
        <v>1.3730000000000001E-3</v>
      </c>
      <c r="M18" s="20">
        <f>IF(Dat_01!L11*100=-100,"-",Dat_01!L11*100)</f>
        <v>-34.369024860000003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73.604264000000001</v>
      </c>
      <c r="I19" s="20">
        <f>Dat_01!AB12*100</f>
        <v>-30.240164269999998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72.807096999999999</v>
      </c>
      <c r="G20" s="14">
        <f>((SUM(Dat_01!R10:R12,Dat_01!R14)/SUM(Dat_01!S10:S12,Dat_01!S14))-1)*100</f>
        <v>-11.269609820307281</v>
      </c>
      <c r="H20" s="138">
        <f>SUM(H17:H19)</f>
        <v>252.68561</v>
      </c>
      <c r="I20" s="14">
        <f>(H20/(H17/(I17/100+1)+H18/(I18/100+1)+H19/(I19/100+1))-1)*100</f>
        <v>-9.2589849141848859</v>
      </c>
      <c r="J20" s="138">
        <f>SUM(J17:J19)</f>
        <v>16.327002</v>
      </c>
      <c r="K20" s="14">
        <f>((SUM(Dat_01!B10:B12)/SUM(Dat_01!C10:C12))-1)*100</f>
        <v>3.9624545757291907</v>
      </c>
      <c r="L20" s="138">
        <f>SUM(L17:L19)</f>
        <v>17.438977999999999</v>
      </c>
      <c r="M20" s="14">
        <f>((SUM(Dat_01!J10:J12)/SUM(Dat_01!K10:K12))-1)*100</f>
        <v>6.7216094855612862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245.22935200000001</v>
      </c>
      <c r="G21" s="14">
        <f>Dat_01!T13*100</f>
        <v>-17.242532109999999</v>
      </c>
      <c r="H21" s="138">
        <f>Dat_01!Z13/1000</f>
        <v>294.563964</v>
      </c>
      <c r="I21" s="14">
        <f>Dat_01!AB13*100</f>
        <v>-10.643633380000001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2.778902</v>
      </c>
      <c r="G22" s="14">
        <f>Dat_01!T19*100</f>
        <v>-7.2227576999999998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14.1961285</v>
      </c>
      <c r="G23" s="14">
        <f>Dat_01!T20*100</f>
        <v>42.90326761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0.46726499999999999</v>
      </c>
      <c r="M23" s="14">
        <f>Dat_01!L20*100</f>
        <v>8.3189028700000005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334.30173550000001</v>
      </c>
      <c r="G24" s="156">
        <f>((SUM(Dat_01!R9:R14,Dat_01!R19,Dat_01!R21)/SUM(Dat_01!S9:S14,Dat_01!S19,Dat_01!S21))-1)*100</f>
        <v>-14.387671067088082</v>
      </c>
      <c r="H24" s="140">
        <f>SUM(H16,H20:H23)</f>
        <v>547.24957399999994</v>
      </c>
      <c r="I24" s="156">
        <f>((SUM(Dat_01!Z9:Z14,Dat_01!Z19,Dat_01!Z21)/SUM(Dat_01!AA9:AA14,Dat_01!AA19,Dat_01!AA21))-1)*100</f>
        <v>-10.009577898975774</v>
      </c>
      <c r="J24" s="140">
        <f>SUM(J16,J20:J23)</f>
        <v>16.327002</v>
      </c>
      <c r="K24" s="156">
        <f>((SUM(Dat_01!B9:B14,Dat_01!B19,Dat_01!B21)/SUM(Dat_01!C9:C14,Dat_01!C19,Dat_01!C21))-1)*100</f>
        <v>3.9624545757291907</v>
      </c>
      <c r="L24" s="140">
        <f>SUM(L16,L20:L23)</f>
        <v>17.906243</v>
      </c>
      <c r="M24" s="156">
        <f>((SUM(Dat_01!J9:J14,Dat_01!J19,Dat_01!J21)/SUM(Dat_01!K9:K14,Dat_01!K19,Dat_01!K21))-1)*100</f>
        <v>6.7626921624869496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162.00915900000001</v>
      </c>
      <c r="G25" s="11">
        <f>Dat_01!T23*100</f>
        <v>23.808435250000002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554.74845200000004</v>
      </c>
      <c r="G26" s="8">
        <f>Dat_01!T24*100</f>
        <v>-2.03359383</v>
      </c>
      <c r="H26" s="142">
        <f>Dat_01!Z24/1000</f>
        <v>736.01638400000002</v>
      </c>
      <c r="I26" s="8">
        <f>Dat_01!AB24*100</f>
        <v>-1.17390661</v>
      </c>
      <c r="J26" s="142">
        <f>Dat_01!B24/1000</f>
        <v>16.327003000000001</v>
      </c>
      <c r="K26" s="8">
        <f>Dat_01!D24*100</f>
        <v>3.9624609399999997</v>
      </c>
      <c r="L26" s="142">
        <f>Dat_01!J24/1000</f>
        <v>18.380281</v>
      </c>
      <c r="M26" s="8">
        <f>Dat_01!L24*100</f>
        <v>6.79983205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E44" sqref="E43:E44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Septiembre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Septiembre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7" sqref="I27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Septiembre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Septiembre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7" zoomScale="80" zoomScaleNormal="80" workbookViewId="0">
      <selection activeCell="D68" sqref="D68:D78"/>
    </sheetView>
  </sheetViews>
  <sheetFormatPr baseColWidth="10" defaultColWidth="11.42578125" defaultRowHeight="12"/>
  <cols>
    <col min="1" max="1" width="13.5703125" style="102" bestFit="1" customWidth="1"/>
    <col min="2" max="2" width="17.7109375" style="102" bestFit="1" customWidth="1"/>
    <col min="3" max="3" width="31.7109375" style="102" bestFit="1" customWidth="1"/>
    <col min="4" max="4" width="27" style="102" bestFit="1" customWidth="1"/>
    <col min="5" max="5" width="27.85546875" style="102" bestFit="1" customWidth="1"/>
    <col min="6" max="6" width="42.85546875" style="102" bestFit="1" customWidth="1"/>
    <col min="7" max="7" width="31.5703125" style="102" bestFit="1" customWidth="1"/>
    <col min="8" max="8" width="26.5703125" style="102" bestFit="1" customWidth="1"/>
    <col min="9" max="9" width="27.42578125" style="102" bestFit="1" customWidth="1"/>
    <col min="10" max="10" width="36.7109375" style="102" bestFit="1" customWidth="1"/>
    <col min="11" max="11" width="37.42578125" style="102" bestFit="1" customWidth="1"/>
    <col min="12" max="12" width="32.42578125" style="102" bestFit="1" customWidth="1"/>
    <col min="13" max="13" width="33.42578125" style="102" bestFit="1" customWidth="1"/>
    <col min="14" max="14" width="42.71093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126</v>
      </c>
      <c r="B2" s="133" t="s">
        <v>127</v>
      </c>
    </row>
    <row r="4" spans="1:33" ht="15">
      <c r="A4" s="134" t="s">
        <v>67</v>
      </c>
      <c r="B4" s="199" t="s">
        <v>126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276.21199999999999</v>
      </c>
      <c r="AA8" s="169">
        <v>289.24099999999999</v>
      </c>
      <c r="AB8" s="170">
        <v>-4.50454811E-2</v>
      </c>
      <c r="AC8" s="169">
        <v>2518.835</v>
      </c>
      <c r="AD8" s="169">
        <v>2557.5120000000002</v>
      </c>
      <c r="AE8" s="170">
        <v>-1.5122900700000001E-2</v>
      </c>
      <c r="AF8" s="169">
        <v>3408.22</v>
      </c>
      <c r="AG8" s="170">
        <v>-2.7379047E-3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-709.74400000000003</v>
      </c>
      <c r="S9" s="169">
        <v>-823.37800000000004</v>
      </c>
      <c r="T9" s="170">
        <v>-0.13800951689999999</v>
      </c>
      <c r="U9" s="169">
        <v>45567.241999999998</v>
      </c>
      <c r="V9" s="169">
        <v>62910.571000000004</v>
      </c>
      <c r="W9" s="170">
        <v>-0.27568226969999998</v>
      </c>
      <c r="X9" s="169">
        <v>43148.703000000001</v>
      </c>
      <c r="Y9" s="170">
        <v>-0.29359876959999998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16065.1</v>
      </c>
      <c r="C10" s="169">
        <v>15523.317999999999</v>
      </c>
      <c r="D10" s="170">
        <v>3.4901172500000001E-2</v>
      </c>
      <c r="E10" s="169">
        <v>140703.408</v>
      </c>
      <c r="F10" s="169">
        <v>140245.13800000001</v>
      </c>
      <c r="G10" s="170">
        <v>3.2676355999999998E-3</v>
      </c>
      <c r="H10" s="169">
        <v>186462.21400000001</v>
      </c>
      <c r="I10" s="170">
        <v>-2.4933304999999999E-3</v>
      </c>
      <c r="J10" s="169">
        <v>17437.605</v>
      </c>
      <c r="K10" s="169">
        <v>16338.532999999999</v>
      </c>
      <c r="L10" s="170">
        <v>6.7268707699999999E-2</v>
      </c>
      <c r="M10" s="169">
        <v>145179.19200000001</v>
      </c>
      <c r="N10" s="169">
        <v>145463.804</v>
      </c>
      <c r="O10" s="170">
        <v>-1.956583E-3</v>
      </c>
      <c r="P10" s="169">
        <v>190815.337</v>
      </c>
      <c r="Q10" s="170">
        <v>1.4739081100000001E-2</v>
      </c>
      <c r="R10" s="169">
        <v>36525.360999999997</v>
      </c>
      <c r="S10" s="169">
        <v>32782.569000000003</v>
      </c>
      <c r="T10" s="170">
        <v>0.11417018600000001</v>
      </c>
      <c r="U10" s="169">
        <v>214003.674</v>
      </c>
      <c r="V10" s="169">
        <v>222168.10399999999</v>
      </c>
      <c r="W10" s="170">
        <v>-3.6748884500000002E-2</v>
      </c>
      <c r="X10" s="169">
        <v>243247.565</v>
      </c>
      <c r="Y10" s="170">
        <v>-3.02169329E-2</v>
      </c>
      <c r="Z10" s="169">
        <v>154834.55499999999</v>
      </c>
      <c r="AA10" s="169">
        <v>154769.625</v>
      </c>
      <c r="AB10" s="170">
        <v>4.1952679999999998E-4</v>
      </c>
      <c r="AC10" s="169">
        <v>1365538.3859999999</v>
      </c>
      <c r="AD10" s="169">
        <v>1364443.571</v>
      </c>
      <c r="AE10" s="170">
        <v>8.0238939999999995E-4</v>
      </c>
      <c r="AF10" s="169">
        <v>1883956.3589999999</v>
      </c>
      <c r="AG10" s="170">
        <v>2.3666802099999999E-2</v>
      </c>
    </row>
    <row r="11" spans="1:33">
      <c r="A11" s="133" t="s">
        <v>9</v>
      </c>
      <c r="B11" s="169">
        <v>261.90199999999999</v>
      </c>
      <c r="C11" s="169">
        <v>181.392</v>
      </c>
      <c r="D11" s="170">
        <v>0.44384537359999998</v>
      </c>
      <c r="E11" s="169">
        <v>618.33299999999997</v>
      </c>
      <c r="F11" s="169">
        <v>228.887</v>
      </c>
      <c r="G11" s="170">
        <v>1.7014771480999999</v>
      </c>
      <c r="H11" s="169">
        <v>642.68499999999995</v>
      </c>
      <c r="I11" s="170">
        <v>0.1349284274</v>
      </c>
      <c r="J11" s="169">
        <v>1.373</v>
      </c>
      <c r="K11" s="169">
        <v>2.0920000000000001</v>
      </c>
      <c r="L11" s="170">
        <v>-0.34369024860000003</v>
      </c>
      <c r="M11" s="169">
        <v>252.227</v>
      </c>
      <c r="N11" s="169">
        <v>39.009</v>
      </c>
      <c r="O11" s="170">
        <v>5.4658668512000004</v>
      </c>
      <c r="P11" s="169">
        <v>257.35399999999998</v>
      </c>
      <c r="Q11" s="170">
        <v>5.0291437273000001</v>
      </c>
      <c r="R11" s="169">
        <v>36281.735999999997</v>
      </c>
      <c r="S11" s="169">
        <v>49271.726999999999</v>
      </c>
      <c r="T11" s="170">
        <v>-0.26363985579999999</v>
      </c>
      <c r="U11" s="169">
        <v>322255.51400000002</v>
      </c>
      <c r="V11" s="169">
        <v>407107.55699999997</v>
      </c>
      <c r="W11" s="170">
        <v>-0.20842659769999999</v>
      </c>
      <c r="X11" s="169">
        <v>413321.88099999999</v>
      </c>
      <c r="Y11" s="170">
        <v>-0.17267253290000001</v>
      </c>
      <c r="Z11" s="169">
        <v>24246.791000000001</v>
      </c>
      <c r="AA11" s="169">
        <v>18188.440999999999</v>
      </c>
      <c r="AB11" s="170">
        <v>0.33308792110000002</v>
      </c>
      <c r="AC11" s="169">
        <v>184980.361</v>
      </c>
      <c r="AD11" s="169">
        <v>174484.93299999999</v>
      </c>
      <c r="AE11" s="170">
        <v>6.0150912899999999E-2</v>
      </c>
      <c r="AF11" s="169">
        <v>266467.65600000002</v>
      </c>
      <c r="AG11" s="170">
        <v>3.60071743E-2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73604.263999999996</v>
      </c>
      <c r="AA12" s="169">
        <v>105510.948</v>
      </c>
      <c r="AB12" s="170">
        <v>-0.30240164269999997</v>
      </c>
      <c r="AC12" s="169">
        <v>899340.13100000005</v>
      </c>
      <c r="AD12" s="169">
        <v>910605.91799999995</v>
      </c>
      <c r="AE12" s="170">
        <v>-1.23717481E-2</v>
      </c>
      <c r="AF12" s="169">
        <v>1206384.209</v>
      </c>
      <c r="AG12" s="170">
        <v>-3.1539871900000002E-2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245229.35200000001</v>
      </c>
      <c r="S13" s="169">
        <v>296322.92800000001</v>
      </c>
      <c r="T13" s="170">
        <v>-0.1724253211</v>
      </c>
      <c r="U13" s="169">
        <v>2152682.9929999998</v>
      </c>
      <c r="V13" s="169">
        <v>2365942.7590000001</v>
      </c>
      <c r="W13" s="170">
        <v>-9.0137331200000004E-2</v>
      </c>
      <c r="X13" s="169">
        <v>2857971.8590000002</v>
      </c>
      <c r="Y13" s="170">
        <v>-9.2398728799999996E-2</v>
      </c>
      <c r="Z13" s="169">
        <v>294563.96399999998</v>
      </c>
      <c r="AA13" s="169">
        <v>329650.78499999997</v>
      </c>
      <c r="AB13" s="170">
        <v>-0.1064363338</v>
      </c>
      <c r="AC13" s="169">
        <v>2599182.0860000001</v>
      </c>
      <c r="AD13" s="169">
        <v>2647030.2390000001</v>
      </c>
      <c r="AE13" s="170">
        <v>-1.80761641E-2</v>
      </c>
      <c r="AF13" s="169">
        <v>3648869.4980000001</v>
      </c>
      <c r="AG13" s="170">
        <v>1.0817052000000001E-2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0</v>
      </c>
      <c r="AB14" s="170">
        <v>0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2268.239</v>
      </c>
      <c r="AA15" s="169">
        <v>1314.992</v>
      </c>
      <c r="AB15" s="170">
        <v>0.72490707170000002</v>
      </c>
      <c r="AC15" s="169">
        <v>19603.411</v>
      </c>
      <c r="AD15" s="169">
        <v>15274.437</v>
      </c>
      <c r="AE15" s="170">
        <v>0.28341299910000001</v>
      </c>
      <c r="AF15" s="169">
        <v>21805.745999999999</v>
      </c>
      <c r="AG15" s="170">
        <v>0.20068936649999999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0</v>
      </c>
      <c r="T16" s="170">
        <v>0</v>
      </c>
      <c r="U16" s="169">
        <v>0</v>
      </c>
      <c r="V16" s="169">
        <v>1248.982</v>
      </c>
      <c r="W16" s="170">
        <v>-1</v>
      </c>
      <c r="X16" s="169">
        <v>19.088000000000001</v>
      </c>
      <c r="Y16" s="170">
        <v>-0.98615514390000003</v>
      </c>
      <c r="Z16" s="169">
        <v>148538.97899999999</v>
      </c>
      <c r="AA16" s="169">
        <v>103255.75199999999</v>
      </c>
      <c r="AB16" s="170">
        <v>0.43855403809999999</v>
      </c>
      <c r="AC16" s="169">
        <v>1151395.858</v>
      </c>
      <c r="AD16" s="169">
        <v>1098247.9439999999</v>
      </c>
      <c r="AE16" s="170">
        <v>4.8393365399999999E-2</v>
      </c>
      <c r="AF16" s="169">
        <v>1378995.246</v>
      </c>
      <c r="AG16" s="170">
        <v>4.1338591000000001E-2</v>
      </c>
    </row>
    <row r="17" spans="1:33">
      <c r="A17" s="133" t="s">
        <v>4</v>
      </c>
      <c r="B17" s="169">
        <v>1E-3</v>
      </c>
      <c r="C17" s="169">
        <v>0</v>
      </c>
      <c r="D17" s="170">
        <v>0</v>
      </c>
      <c r="E17" s="169">
        <v>4.5999999999999999E-2</v>
      </c>
      <c r="F17" s="169">
        <v>0</v>
      </c>
      <c r="G17" s="170">
        <v>0</v>
      </c>
      <c r="H17" s="169">
        <v>4.5999999999999999E-2</v>
      </c>
      <c r="I17" s="170">
        <v>0</v>
      </c>
      <c r="J17" s="169">
        <v>6.7729999999999997</v>
      </c>
      <c r="K17" s="169">
        <v>6.6449999999999996</v>
      </c>
      <c r="L17" s="170">
        <v>1.9262603499999999E-2</v>
      </c>
      <c r="M17" s="169">
        <v>58.241999999999997</v>
      </c>
      <c r="N17" s="169">
        <v>62.369</v>
      </c>
      <c r="O17" s="170">
        <v>-6.6170693799999999E-2</v>
      </c>
      <c r="P17" s="169">
        <v>72.400000000000006</v>
      </c>
      <c r="Q17" s="170">
        <v>-3.8180513899999997E-2</v>
      </c>
      <c r="R17" s="169">
        <v>43876.616000000002</v>
      </c>
      <c r="S17" s="169">
        <v>34850.726000000002</v>
      </c>
      <c r="T17" s="170">
        <v>0.25898714420000002</v>
      </c>
      <c r="U17" s="169">
        <v>415924.136</v>
      </c>
      <c r="V17" s="169">
        <v>308522.08</v>
      </c>
      <c r="W17" s="170">
        <v>0.34811789160000001</v>
      </c>
      <c r="X17" s="169">
        <v>496341.71399999998</v>
      </c>
      <c r="Y17" s="170">
        <v>0.35960975979999998</v>
      </c>
      <c r="Z17" s="169">
        <v>36573.205000000002</v>
      </c>
      <c r="AA17" s="169">
        <v>31407.26</v>
      </c>
      <c r="AB17" s="170">
        <v>0.1644825114</v>
      </c>
      <c r="AC17" s="169">
        <v>310963.79800000001</v>
      </c>
      <c r="AD17" s="169">
        <v>267282.511</v>
      </c>
      <c r="AE17" s="170">
        <v>0.1634274043</v>
      </c>
      <c r="AF17" s="169">
        <v>389650.68800000002</v>
      </c>
      <c r="AG17" s="170">
        <v>0.1583446973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364.81299999999999</v>
      </c>
      <c r="S18" s="169">
        <v>141.28100000000001</v>
      </c>
      <c r="T18" s="170">
        <v>1.5821801941</v>
      </c>
      <c r="U18" s="169">
        <v>1157.5540000000001</v>
      </c>
      <c r="V18" s="169">
        <v>1145.2929999999999</v>
      </c>
      <c r="W18" s="170">
        <v>1.0705557399999999E-2</v>
      </c>
      <c r="X18" s="169">
        <v>1575.366</v>
      </c>
      <c r="Y18" s="170">
        <v>6.3136299500000007E-2</v>
      </c>
      <c r="Z18" s="169">
        <v>1110.175</v>
      </c>
      <c r="AA18" s="169">
        <v>372.11700000000002</v>
      </c>
      <c r="AB18" s="170">
        <v>1.9834030695</v>
      </c>
      <c r="AC18" s="169">
        <v>5833.67</v>
      </c>
      <c r="AD18" s="169">
        <v>5573.3040000000001</v>
      </c>
      <c r="AE18" s="170">
        <v>4.6716633399999999E-2</v>
      </c>
      <c r="AF18" s="169">
        <v>7228.3239999999996</v>
      </c>
      <c r="AG18" s="170">
        <v>-7.9680815799999999E-2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2778.902</v>
      </c>
      <c r="S19" s="169">
        <v>2995.241</v>
      </c>
      <c r="T19" s="170">
        <v>-7.2227577000000001E-2</v>
      </c>
      <c r="U19" s="169">
        <v>29252.864000000001</v>
      </c>
      <c r="V19" s="169">
        <v>30191.317999999999</v>
      </c>
      <c r="W19" s="170">
        <v>-3.1083571800000001E-2</v>
      </c>
      <c r="X19" s="169">
        <v>36027.010999999999</v>
      </c>
      <c r="Y19" s="170">
        <v>-3.7574648199999998E-2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467.26499999999999</v>
      </c>
      <c r="K20" s="169">
        <v>431.37900000000002</v>
      </c>
      <c r="L20" s="170">
        <v>8.3189028700000001E-2</v>
      </c>
      <c r="M20" s="169">
        <v>4531.5985000000001</v>
      </c>
      <c r="N20" s="169">
        <v>4178.9830000000002</v>
      </c>
      <c r="O20" s="170">
        <v>8.4378304500000001E-2</v>
      </c>
      <c r="P20" s="169">
        <v>5766.3905000000004</v>
      </c>
      <c r="Q20" s="170">
        <v>4.3807060100000003E-2</v>
      </c>
      <c r="R20" s="169">
        <v>14196.128500000001</v>
      </c>
      <c r="S20" s="169">
        <v>9934.0825000000004</v>
      </c>
      <c r="T20" s="170">
        <v>0.42903267610000001</v>
      </c>
      <c r="U20" s="169">
        <v>114607.2945</v>
      </c>
      <c r="V20" s="169">
        <v>102471.569</v>
      </c>
      <c r="W20" s="170">
        <v>0.11843017159999999</v>
      </c>
      <c r="X20" s="169">
        <v>145270.726</v>
      </c>
      <c r="Y20" s="170">
        <v>8.1649727599999999E-2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467.26499999999999</v>
      </c>
      <c r="K21" s="169">
        <v>431.37900000000002</v>
      </c>
      <c r="L21" s="170">
        <v>8.3189028700000001E-2</v>
      </c>
      <c r="M21" s="169">
        <v>4531.5985000000001</v>
      </c>
      <c r="N21" s="169">
        <v>4178.9830000000002</v>
      </c>
      <c r="O21" s="170">
        <v>8.4378304500000001E-2</v>
      </c>
      <c r="P21" s="169">
        <v>5766.3905000000004</v>
      </c>
      <c r="Q21" s="170">
        <v>4.3807060100000003E-2</v>
      </c>
      <c r="R21" s="169">
        <v>14196.128500000001</v>
      </c>
      <c r="S21" s="169">
        <v>9934.0825000000004</v>
      </c>
      <c r="T21" s="170">
        <v>0.42903267610000001</v>
      </c>
      <c r="U21" s="169">
        <v>114607.2945</v>
      </c>
      <c r="V21" s="169">
        <v>102471.569</v>
      </c>
      <c r="W21" s="170">
        <v>0.11843017159999999</v>
      </c>
      <c r="X21" s="169">
        <v>145270.726</v>
      </c>
      <c r="Y21" s="170">
        <v>8.1649727599999999E-2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16327.003000000001</v>
      </c>
      <c r="C22" s="171">
        <v>15704.71</v>
      </c>
      <c r="D22" s="172">
        <v>3.9624609399999997E-2</v>
      </c>
      <c r="E22" s="171">
        <v>141321.78700000001</v>
      </c>
      <c r="F22" s="171">
        <v>140474.02499999999</v>
      </c>
      <c r="G22" s="172">
        <v>6.035009E-3</v>
      </c>
      <c r="H22" s="171">
        <v>187104.94500000001</v>
      </c>
      <c r="I22" s="172">
        <v>-2.0780388999999998E-3</v>
      </c>
      <c r="J22" s="171">
        <v>18380.280999999999</v>
      </c>
      <c r="K22" s="171">
        <v>17210.027999999998</v>
      </c>
      <c r="L22" s="172">
        <v>6.7998320500000001E-2</v>
      </c>
      <c r="M22" s="171">
        <v>154552.85800000001</v>
      </c>
      <c r="N22" s="171">
        <v>153923.14799999999</v>
      </c>
      <c r="O22" s="172">
        <v>4.0910675999999997E-3</v>
      </c>
      <c r="P22" s="171">
        <v>202677.872</v>
      </c>
      <c r="Q22" s="172">
        <v>1.7405716599999999E-2</v>
      </c>
      <c r="R22" s="171">
        <v>392739.29300000001</v>
      </c>
      <c r="S22" s="171">
        <v>435409.25900000002</v>
      </c>
      <c r="T22" s="172">
        <v>-9.7999675300000005E-2</v>
      </c>
      <c r="U22" s="171">
        <v>3410058.5660000001</v>
      </c>
      <c r="V22" s="171">
        <v>3604179.8020000001</v>
      </c>
      <c r="W22" s="172">
        <v>-5.3860031000000003E-2</v>
      </c>
      <c r="X22" s="171">
        <v>4382194.6390000004</v>
      </c>
      <c r="Y22" s="172">
        <v>-5.46028842E-2</v>
      </c>
      <c r="Z22" s="171">
        <v>736016.38399999996</v>
      </c>
      <c r="AA22" s="171">
        <v>744759.16099999996</v>
      </c>
      <c r="AB22" s="172">
        <v>-1.1739066100000001E-2</v>
      </c>
      <c r="AC22" s="171">
        <v>6539356.5360000003</v>
      </c>
      <c r="AD22" s="171">
        <v>6485434.3810000001</v>
      </c>
      <c r="AE22" s="172">
        <v>8.3143474999999994E-3</v>
      </c>
      <c r="AF22" s="171">
        <v>8806765.9460000005</v>
      </c>
      <c r="AG22" s="172">
        <v>1.8939322799999998E-2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162009.15900000001</v>
      </c>
      <c r="S23" s="169">
        <v>130854.702</v>
      </c>
      <c r="T23" s="170">
        <v>0.23808435250000001</v>
      </c>
      <c r="U23" s="169">
        <v>1279082.9979999999</v>
      </c>
      <c r="V23" s="169">
        <v>1111436.4820000001</v>
      </c>
      <c r="W23" s="170">
        <v>0.15083769399999999</v>
      </c>
      <c r="X23" s="169">
        <v>1593706.446</v>
      </c>
      <c r="Y23" s="170">
        <v>0.21789705819999999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16327.003000000001</v>
      </c>
      <c r="C24" s="171">
        <v>15704.71</v>
      </c>
      <c r="D24" s="172">
        <v>3.9624609399999997E-2</v>
      </c>
      <c r="E24" s="171">
        <v>141321.78700000001</v>
      </c>
      <c r="F24" s="171">
        <v>140474.02499999999</v>
      </c>
      <c r="G24" s="172">
        <v>6.035009E-3</v>
      </c>
      <c r="H24" s="171">
        <v>187104.94500000001</v>
      </c>
      <c r="I24" s="172">
        <v>-2.0780388999999998E-3</v>
      </c>
      <c r="J24" s="171">
        <v>18380.280999999999</v>
      </c>
      <c r="K24" s="171">
        <v>17210.027999999998</v>
      </c>
      <c r="L24" s="172">
        <v>6.7998320500000001E-2</v>
      </c>
      <c r="M24" s="171">
        <v>154552.85800000001</v>
      </c>
      <c r="N24" s="171">
        <v>153923.14799999999</v>
      </c>
      <c r="O24" s="172">
        <v>4.0910675999999997E-3</v>
      </c>
      <c r="P24" s="171">
        <v>202677.872</v>
      </c>
      <c r="Q24" s="172">
        <v>1.7405716599999999E-2</v>
      </c>
      <c r="R24" s="171">
        <v>554748.45200000005</v>
      </c>
      <c r="S24" s="171">
        <v>566263.96100000001</v>
      </c>
      <c r="T24" s="172">
        <v>-2.0335938299999998E-2</v>
      </c>
      <c r="U24" s="171">
        <v>4689141.5640000002</v>
      </c>
      <c r="V24" s="171">
        <v>4715616.284</v>
      </c>
      <c r="W24" s="172">
        <v>-5.6142650999999998E-3</v>
      </c>
      <c r="X24" s="171">
        <v>5975901.085</v>
      </c>
      <c r="Y24" s="172">
        <v>5.3893509999999997E-3</v>
      </c>
      <c r="Z24" s="171">
        <v>736016.38399999996</v>
      </c>
      <c r="AA24" s="171">
        <v>744759.16099999996</v>
      </c>
      <c r="AB24" s="172">
        <v>-1.1739066100000001E-2</v>
      </c>
      <c r="AC24" s="171">
        <v>6539356.5360000003</v>
      </c>
      <c r="AD24" s="171">
        <v>6485434.3810000001</v>
      </c>
      <c r="AE24" s="172">
        <v>8.3143474999999994E-3</v>
      </c>
      <c r="AF24" s="171">
        <v>8806765.9460000005</v>
      </c>
      <c r="AG24" s="172">
        <v>1.8939322799999998E-2</v>
      </c>
    </row>
    <row r="25" spans="1:33">
      <c r="R25" s="162">
        <f>SUM(R10,R14)</f>
        <v>36525.360999999997</v>
      </c>
      <c r="S25" s="162">
        <f>SUM(S10,S14)</f>
        <v>32782.569000000003</v>
      </c>
      <c r="T25" s="163">
        <f>((R25/S25)-1)*100</f>
        <v>11.417018599121963</v>
      </c>
    </row>
    <row r="26" spans="1:33">
      <c r="A26" s="102" t="s">
        <v>103</v>
      </c>
      <c r="B26" s="162">
        <f>SUM(B24,J24,R24,Z24)</f>
        <v>1325472.1200000001</v>
      </c>
      <c r="C26" s="162">
        <f>SUM(C24,K24,S24,AA24)</f>
        <v>1343937.8599999999</v>
      </c>
      <c r="D26" s="163">
        <f>((B26/C26)-1)*100</f>
        <v>-1.3740025152650825</v>
      </c>
      <c r="R26" s="179">
        <f>R23/R24</f>
        <v>0.29204075904298332</v>
      </c>
      <c r="S26" s="179">
        <f>S23/S24</f>
        <v>0.23108428403057069</v>
      </c>
      <c r="Z26" s="163"/>
    </row>
    <row r="29" spans="1:33" ht="15">
      <c r="A29" s="134" t="s">
        <v>67</v>
      </c>
      <c r="B29" s="199" t="str">
        <f>A2</f>
        <v>Septiembre 2024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644.71</v>
      </c>
      <c r="D41" s="167"/>
    </row>
    <row r="42" spans="1:4">
      <c r="A42" s="133" t="s">
        <v>4</v>
      </c>
      <c r="B42" s="176">
        <v>336.82939499999998</v>
      </c>
      <c r="C42" s="176">
        <v>275.33394500000003</v>
      </c>
      <c r="D42" s="167"/>
    </row>
    <row r="43" spans="1:4">
      <c r="A43" s="133" t="s">
        <v>22</v>
      </c>
      <c r="B43" s="176">
        <v>3.9319999999999999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2237.2518950000003</v>
      </c>
      <c r="C47" s="177">
        <f>SUM(C33:C46)</f>
        <v>3334.9499449999998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10.78108372772213</v>
      </c>
      <c r="D52" s="165"/>
      <c r="F52" s="105" t="s">
        <v>10</v>
      </c>
      <c r="G52" s="106">
        <f>C35</f>
        <v>487.64</v>
      </c>
      <c r="H52" s="107">
        <f>G52/$G$62*100</f>
        <v>14.622108518633253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6.2308585059886612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15.614927018042547</v>
      </c>
    </row>
    <row r="54" spans="1:8">
      <c r="A54" s="105" t="s">
        <v>9</v>
      </c>
      <c r="B54" s="106">
        <f t="shared" si="1"/>
        <v>603.1</v>
      </c>
      <c r="C54" s="107">
        <f t="shared" si="0"/>
        <v>26.957179088678345</v>
      </c>
      <c r="D54" s="165"/>
      <c r="F54" s="105" t="s">
        <v>8</v>
      </c>
      <c r="G54" s="106">
        <f>C37</f>
        <v>482.64</v>
      </c>
      <c r="H54" s="107">
        <f t="shared" si="2"/>
        <v>14.472181230894007</v>
      </c>
    </row>
    <row r="55" spans="1:8">
      <c r="A55" s="105" t="s">
        <v>25</v>
      </c>
      <c r="B55" s="106">
        <f>B38</f>
        <v>822.9</v>
      </c>
      <c r="C55" s="107">
        <f t="shared" si="0"/>
        <v>36.781732170574379</v>
      </c>
      <c r="D55" s="165"/>
      <c r="F55" s="105" t="s">
        <v>25</v>
      </c>
      <c r="G55" s="106">
        <f>C38</f>
        <v>865.4</v>
      </c>
      <c r="H55" s="107">
        <f t="shared" si="2"/>
        <v>25.949414961908822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1.145444478327845</v>
      </c>
    </row>
    <row r="57" spans="1:8">
      <c r="A57" s="105" t="s">
        <v>23</v>
      </c>
      <c r="B57" s="106">
        <f>B44</f>
        <v>11.523</v>
      </c>
      <c r="C57" s="107">
        <f t="shared" si="0"/>
        <v>0.51505152485299388</v>
      </c>
      <c r="D57" s="165"/>
      <c r="F57" s="105" t="s">
        <v>12</v>
      </c>
      <c r="G57" s="107">
        <f>C33</f>
        <v>1.52</v>
      </c>
      <c r="H57" s="107">
        <f t="shared" si="2"/>
        <v>4.5577895472731E-2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1.6716937455091527</v>
      </c>
      <c r="D58" s="165"/>
      <c r="F58" s="105" t="s">
        <v>6</v>
      </c>
      <c r="G58" s="106">
        <f>C40</f>
        <v>11.32</v>
      </c>
      <c r="H58" s="107">
        <f t="shared" si="2"/>
        <v>0.33943537944165458</v>
      </c>
    </row>
    <row r="59" spans="1:8">
      <c r="A59" s="105" t="s">
        <v>54</v>
      </c>
      <c r="B59" s="106">
        <f>B45</f>
        <v>37.4</v>
      </c>
      <c r="C59" s="107">
        <f t="shared" si="3"/>
        <v>1.6716937455091527</v>
      </c>
      <c r="D59" s="165"/>
      <c r="F59" s="105" t="s">
        <v>5</v>
      </c>
      <c r="G59" s="106">
        <f>C41</f>
        <v>644.71</v>
      </c>
      <c r="H59" s="107">
        <f t="shared" si="2"/>
        <v>19.331924335673953</v>
      </c>
    </row>
    <row r="60" spans="1:8">
      <c r="A60" s="105" t="s">
        <v>5</v>
      </c>
      <c r="B60" s="106">
        <f>B41</f>
        <v>3.5674999999999999</v>
      </c>
      <c r="C60" s="107">
        <f t="shared" si="3"/>
        <v>0.15945902238245729</v>
      </c>
      <c r="D60" s="165"/>
      <c r="F60" s="105" t="s">
        <v>4</v>
      </c>
      <c r="G60" s="106">
        <f>C42</f>
        <v>275.33394500000003</v>
      </c>
      <c r="H60" s="107">
        <f t="shared" si="2"/>
        <v>8.2560143192793873</v>
      </c>
    </row>
    <row r="61" spans="1:8">
      <c r="A61" s="105" t="s">
        <v>4</v>
      </c>
      <c r="B61" s="106">
        <f>B42</f>
        <v>336.82939499999998</v>
      </c>
      <c r="C61" s="107">
        <f t="shared" si="3"/>
        <v>15.055497137035612</v>
      </c>
      <c r="D61" s="165"/>
      <c r="F61" s="105" t="s">
        <v>22</v>
      </c>
      <c r="G61" s="106">
        <f>C43</f>
        <v>7.4359999999999999</v>
      </c>
      <c r="H61" s="107">
        <f t="shared" si="2"/>
        <v>0.22297186232580773</v>
      </c>
    </row>
    <row r="62" spans="1:8">
      <c r="A62" s="105" t="s">
        <v>22</v>
      </c>
      <c r="B62" s="106">
        <f>B43</f>
        <v>3.9319999999999999</v>
      </c>
      <c r="C62" s="107">
        <f t="shared" si="3"/>
        <v>0.17575133174711202</v>
      </c>
      <c r="D62" s="165"/>
      <c r="F62" s="108" t="s">
        <v>20</v>
      </c>
      <c r="G62" s="109">
        <f>SUM(G52:G61)</f>
        <v>3334.9499449999998</v>
      </c>
      <c r="H62" s="110">
        <f>SUM(H52:H61)</f>
        <v>100</v>
      </c>
    </row>
    <row r="63" spans="1:8">
      <c r="A63" s="108" t="s">
        <v>20</v>
      </c>
      <c r="B63" s="109">
        <f>SUM(B52:B62)</f>
        <v>2237.2518949999999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0">
        <f>(C68/SUM($C$68:$C$78))*100</f>
        <v>0</v>
      </c>
      <c r="F68" s="105" t="s">
        <v>10</v>
      </c>
      <c r="G68" s="107">
        <f>SUM(Z10,Z14)/Z$24*100</f>
        <v>21.036835370230019</v>
      </c>
    </row>
    <row r="69" spans="1:7">
      <c r="A69" s="105" t="s">
        <v>10</v>
      </c>
      <c r="B69" s="107">
        <f t="shared" ref="B69:B78" si="4">C69/$C$80*100</f>
        <v>6.5757173560546391</v>
      </c>
      <c r="C69" s="106">
        <f>R10</f>
        <v>36525.360999999997</v>
      </c>
      <c r="D69" s="180">
        <f t="shared" ref="D69:D78" si="5">(C69/SUM($C$68:$C$78))*100</f>
        <v>9.2833779130586596</v>
      </c>
      <c r="F69" s="105" t="s">
        <v>9</v>
      </c>
      <c r="G69" s="107">
        <f>Z11/Z$24*100</f>
        <v>3.2943276164895812</v>
      </c>
    </row>
    <row r="70" spans="1:7">
      <c r="A70" s="105" t="s">
        <v>9</v>
      </c>
      <c r="B70" s="107">
        <f t="shared" si="4"/>
        <v>6.5318571696797862</v>
      </c>
      <c r="C70" s="106">
        <f>R11</f>
        <v>36281.735999999997</v>
      </c>
      <c r="D70" s="180">
        <f t="shared" si="5"/>
        <v>9.2214575683406732</v>
      </c>
      <c r="F70" s="105" t="s">
        <v>8</v>
      </c>
      <c r="G70" s="107">
        <f>Z12/Z$24*100</f>
        <v>10.000356731189289</v>
      </c>
    </row>
    <row r="71" spans="1:7">
      <c r="A71" s="105" t="s">
        <v>25</v>
      </c>
      <c r="B71" s="107">
        <f t="shared" si="4"/>
        <v>44.149020352199472</v>
      </c>
      <c r="C71" s="106">
        <f>R13</f>
        <v>245229.35200000001</v>
      </c>
      <c r="D71" s="180">
        <f>(C71/SUM($C$68:$C$78))*100</f>
        <v>62.328110870430223</v>
      </c>
      <c r="F71" s="105" t="s">
        <v>25</v>
      </c>
      <c r="G71" s="107">
        <f>Z13/Z$24*100</f>
        <v>40.021386806519779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0.50029003442772135</v>
      </c>
      <c r="C73" s="106">
        <f>R19</f>
        <v>2778.902</v>
      </c>
      <c r="D73" s="180">
        <f t="shared" si="5"/>
        <v>0.70629274408415954</v>
      </c>
      <c r="F73" s="105" t="s">
        <v>12</v>
      </c>
      <c r="G73" s="107">
        <f>Z8/Z$24*100</f>
        <v>3.7527968942604406E-2</v>
      </c>
    </row>
    <row r="74" spans="1:7">
      <c r="A74" s="105" t="s">
        <v>55</v>
      </c>
      <c r="B74" s="107">
        <f t="shared" si="4"/>
        <v>2.5557510182098389</v>
      </c>
      <c r="C74" s="106">
        <f>R21</f>
        <v>14196.128500000001</v>
      </c>
      <c r="D74" s="180">
        <f t="shared" si="5"/>
        <v>3.6081238394287904</v>
      </c>
      <c r="F74" s="105" t="s">
        <v>6</v>
      </c>
      <c r="G74" s="107">
        <f>Z15/Z$24*100</f>
        <v>0.30817778643362376</v>
      </c>
    </row>
    <row r="75" spans="1:7">
      <c r="A75" s="105" t="s">
        <v>54</v>
      </c>
      <c r="B75" s="107">
        <f t="shared" si="4"/>
        <v>2.5557510182098389</v>
      </c>
      <c r="C75" s="106">
        <f>R20</f>
        <v>14196.128500000001</v>
      </c>
      <c r="D75" s="180">
        <f t="shared" si="5"/>
        <v>3.6081238394287904</v>
      </c>
      <c r="F75" s="105" t="s">
        <v>5</v>
      </c>
      <c r="G75" s="107">
        <f>Z16/Z$24*100</f>
        <v>20.181477237332803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4.9690748460295149</v>
      </c>
    </row>
    <row r="77" spans="1:7">
      <c r="A77" s="105" t="s">
        <v>4</v>
      </c>
      <c r="B77" s="107">
        <f t="shared" si="4"/>
        <v>7.8991751883340653</v>
      </c>
      <c r="C77" s="106">
        <f>R17</f>
        <v>43876.616000000002</v>
      </c>
      <c r="D77" s="180">
        <f t="shared" si="5"/>
        <v>11.151791432647478</v>
      </c>
      <c r="F77" s="105" t="s">
        <v>22</v>
      </c>
      <c r="G77" s="107">
        <f>Z18/Z$24*100</f>
        <v>0.15083563683278006</v>
      </c>
    </row>
    <row r="78" spans="1:7">
      <c r="A78" s="105" t="s">
        <v>22</v>
      </c>
      <c r="B78" s="107">
        <f t="shared" si="4"/>
        <v>6.5677849859289858E-2</v>
      </c>
      <c r="C78" s="106">
        <f>R18</f>
        <v>364.81299999999999</v>
      </c>
      <c r="D78" s="180">
        <f t="shared" si="5"/>
        <v>9.2721792581233337E-2</v>
      </c>
      <c r="F78" s="108" t="s">
        <v>20</v>
      </c>
      <c r="G78" s="110">
        <f>SUM(G68:G77)</f>
        <v>99.999999999999986</v>
      </c>
    </row>
    <row r="79" spans="1:7">
      <c r="A79" s="105" t="s">
        <v>21</v>
      </c>
      <c r="B79" s="107">
        <f>C79/$C$80*100</f>
        <v>29.166760013025357</v>
      </c>
      <c r="C79" s="106">
        <f>R23</f>
        <v>162009.15900000001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555458.196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126</v>
      </c>
      <c r="X86" s="182" t="s">
        <v>130</v>
      </c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/>
      <c r="Z87"/>
    </row>
    <row r="88" spans="1:26" ht="15">
      <c r="A88" s="210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1.554179</v>
      </c>
      <c r="V88" s="173">
        <v>-0.75178999999999996</v>
      </c>
      <c r="W88" s="173">
        <v>-0.70974400000000004</v>
      </c>
      <c r="X88" s="173">
        <v>0</v>
      </c>
      <c r="Y88"/>
      <c r="Z88"/>
    </row>
    <row r="89" spans="1:26" ht="15">
      <c r="A89" s="211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51.149709999999999</v>
      </c>
      <c r="V89" s="173">
        <v>62.806652999999997</v>
      </c>
      <c r="W89" s="173">
        <v>36.525360999999997</v>
      </c>
      <c r="X89" s="173">
        <v>8.3754760000000008</v>
      </c>
      <c r="Y89"/>
      <c r="Z89"/>
    </row>
    <row r="90" spans="1:26" ht="15">
      <c r="A90" s="211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52.282953999999997</v>
      </c>
      <c r="V90" s="173">
        <v>57.566750999999996</v>
      </c>
      <c r="W90" s="173">
        <v>36.281736000000002</v>
      </c>
      <c r="X90" s="173">
        <v>10.790297000000001</v>
      </c>
      <c r="Y90"/>
      <c r="Z90"/>
    </row>
    <row r="91" spans="1:26" ht="15">
      <c r="A91" s="211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272.94692199999997</v>
      </c>
      <c r="V91" s="173">
        <v>333.50170400000002</v>
      </c>
      <c r="W91" s="173">
        <v>245.22935200000001</v>
      </c>
      <c r="X91" s="173">
        <v>70.180000000000007</v>
      </c>
      <c r="Y91"/>
      <c r="Z91"/>
    </row>
    <row r="92" spans="1:26" ht="15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/>
      <c r="Z92"/>
    </row>
    <row r="93" spans="1:26" ht="15">
      <c r="A93" s="211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/>
      <c r="Z93"/>
    </row>
    <row r="94" spans="1:26" ht="15">
      <c r="A94" s="211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32.896220999999997</v>
      </c>
      <c r="M94" s="173">
        <v>24.884706000000001</v>
      </c>
      <c r="N94" s="173">
        <v>22.636651000000001</v>
      </c>
      <c r="O94" s="173">
        <v>24.18449</v>
      </c>
      <c r="P94" s="173">
        <v>30.778489</v>
      </c>
      <c r="Q94" s="173">
        <v>45.305076999999997</v>
      </c>
      <c r="R94" s="173">
        <v>44.568354999999997</v>
      </c>
      <c r="S94" s="173">
        <v>58.305483000000002</v>
      </c>
      <c r="T94" s="173">
        <v>53.291172000000003</v>
      </c>
      <c r="U94" s="173">
        <v>60.161617</v>
      </c>
      <c r="V94" s="173">
        <v>55.452837000000002</v>
      </c>
      <c r="W94" s="173">
        <v>43.876615999999999</v>
      </c>
      <c r="X94" s="173">
        <v>13.053108</v>
      </c>
      <c r="Y94"/>
      <c r="Z94"/>
    </row>
    <row r="95" spans="1:26" ht="15">
      <c r="A95" s="211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0.10423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0.18402499999999999</v>
      </c>
      <c r="V95" s="173">
        <v>0.28992600000000002</v>
      </c>
      <c r="W95" s="173">
        <v>0.364813</v>
      </c>
      <c r="X95" s="173">
        <v>0.105779</v>
      </c>
      <c r="Y95"/>
      <c r="Z95"/>
    </row>
    <row r="96" spans="1:26" ht="15">
      <c r="A96" s="211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3.2774670000000001</v>
      </c>
      <c r="V96" s="173">
        <v>3.1243509999999999</v>
      </c>
      <c r="W96" s="173">
        <v>2.778902</v>
      </c>
      <c r="X96" s="173">
        <v>0.61714000000000002</v>
      </c>
      <c r="Y96"/>
      <c r="Z96"/>
    </row>
    <row r="97" spans="1:26" ht="15">
      <c r="A97" s="211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15.726691000000001</v>
      </c>
      <c r="V97" s="173">
        <v>15.578734000000001</v>
      </c>
      <c r="W97" s="173">
        <v>14.1961285</v>
      </c>
      <c r="X97" s="173">
        <v>3.0567500000000001</v>
      </c>
      <c r="Y97"/>
      <c r="Z97"/>
    </row>
    <row r="98" spans="1:26" ht="15">
      <c r="A98" s="211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15.726691000000001</v>
      </c>
      <c r="V98" s="173">
        <v>15.578734000000001</v>
      </c>
      <c r="W98" s="173">
        <v>14.1961285</v>
      </c>
      <c r="X98" s="173">
        <v>3.0567500000000001</v>
      </c>
      <c r="Y98"/>
      <c r="Z98"/>
    </row>
    <row r="99" spans="1:26" ht="15">
      <c r="A99" s="211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363.93801500000001</v>
      </c>
      <c r="M99" s="174">
        <v>302.20483200000001</v>
      </c>
      <c r="N99" s="174">
        <v>305.99322599999999</v>
      </c>
      <c r="O99" s="174">
        <v>322.95362299999999</v>
      </c>
      <c r="P99" s="174">
        <v>292.22523799999999</v>
      </c>
      <c r="Q99" s="174">
        <v>317.70156900000001</v>
      </c>
      <c r="R99" s="174">
        <v>321.59470199999998</v>
      </c>
      <c r="S99" s="174">
        <v>356.56604199999998</v>
      </c>
      <c r="T99" s="174">
        <v>390.11994299999998</v>
      </c>
      <c r="U99" s="174">
        <v>473.01025600000003</v>
      </c>
      <c r="V99" s="174">
        <v>543.14790000000005</v>
      </c>
      <c r="W99" s="174">
        <v>392.73929299999998</v>
      </c>
      <c r="X99" s="174">
        <v>109.2353</v>
      </c>
      <c r="Y99"/>
      <c r="Z99"/>
    </row>
    <row r="100" spans="1:26" ht="15">
      <c r="A100" s="211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208.454387</v>
      </c>
      <c r="V100" s="173">
        <v>187.956546</v>
      </c>
      <c r="W100" s="173">
        <v>162.00915900000001</v>
      </c>
      <c r="X100" s="173">
        <v>46.150100000000002</v>
      </c>
      <c r="Y100"/>
      <c r="Z100"/>
    </row>
    <row r="101" spans="1:26" ht="15">
      <c r="A101" s="212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495.38550500000002</v>
      </c>
      <c r="M101" s="174">
        <v>372.94052199999999</v>
      </c>
      <c r="N101" s="174">
        <v>418.433494</v>
      </c>
      <c r="O101" s="174">
        <v>445.71389699999997</v>
      </c>
      <c r="P101" s="174">
        <v>406.96931999999998</v>
      </c>
      <c r="Q101" s="174">
        <v>428.36929600000002</v>
      </c>
      <c r="R101" s="174">
        <v>430.95705199999998</v>
      </c>
      <c r="S101" s="174">
        <v>474.33092599999998</v>
      </c>
      <c r="T101" s="174">
        <v>535.48353199999997</v>
      </c>
      <c r="U101" s="174">
        <v>681.46464300000002</v>
      </c>
      <c r="V101" s="174">
        <v>731.10444600000005</v>
      </c>
      <c r="W101" s="174">
        <v>554.74845200000004</v>
      </c>
      <c r="X101" s="174">
        <v>155.3854</v>
      </c>
      <c r="Y101"/>
      <c r="Z101"/>
    </row>
    <row r="102" spans="1:26" ht="15">
      <c r="A102" s="215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0.290603</v>
      </c>
      <c r="V102" s="173">
        <v>0.28181699999999998</v>
      </c>
      <c r="W102" s="173">
        <v>0.27621200000000001</v>
      </c>
      <c r="X102" s="173">
        <v>0</v>
      </c>
      <c r="Y102"/>
      <c r="Z102"/>
    </row>
    <row r="103" spans="1:26" ht="15">
      <c r="A103" s="211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156.974729</v>
      </c>
      <c r="V103" s="173">
        <v>149.168069</v>
      </c>
      <c r="W103" s="173">
        <v>154.83455499999999</v>
      </c>
      <c r="X103" s="173">
        <v>48.710597999999997</v>
      </c>
      <c r="Y103"/>
      <c r="Z103"/>
    </row>
    <row r="104" spans="1:26" ht="15">
      <c r="A104" s="211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16.279032000000001</v>
      </c>
      <c r="V104" s="173">
        <v>15.569345999999999</v>
      </c>
      <c r="W104" s="173">
        <v>24.246791000000002</v>
      </c>
      <c r="X104" s="173">
        <v>4.7518019999999996</v>
      </c>
      <c r="Y104"/>
      <c r="Z104"/>
    </row>
    <row r="105" spans="1:26" ht="15">
      <c r="A105" s="211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105.68064699999999</v>
      </c>
      <c r="V105" s="173">
        <v>101.50272699999999</v>
      </c>
      <c r="W105" s="173">
        <v>73.604264000000001</v>
      </c>
      <c r="X105" s="173">
        <v>22.243092000000001</v>
      </c>
      <c r="Y105"/>
      <c r="Z105"/>
    </row>
    <row r="106" spans="1:26" ht="15">
      <c r="A106" s="211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264.109264</v>
      </c>
      <c r="V106" s="173">
        <v>258.28017799999998</v>
      </c>
      <c r="W106" s="173">
        <v>294.563964</v>
      </c>
      <c r="X106" s="173">
        <v>104.752439</v>
      </c>
      <c r="Y106"/>
      <c r="Z106"/>
    </row>
    <row r="107" spans="1:26" ht="15">
      <c r="A107" s="211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 s="173">
        <v>0</v>
      </c>
      <c r="Y107"/>
      <c r="Z107"/>
    </row>
    <row r="108" spans="1:26" ht="15">
      <c r="A108" s="211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3.5113029999999998</v>
      </c>
      <c r="V108" s="173">
        <v>3.975784</v>
      </c>
      <c r="W108" s="173">
        <v>2.2682389999999999</v>
      </c>
      <c r="X108" s="173">
        <v>0.77502499999999996</v>
      </c>
      <c r="Y108"/>
      <c r="Z108"/>
    </row>
    <row r="109" spans="1:26" ht="15">
      <c r="A109" s="211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53.195481000000001</v>
      </c>
      <c r="P109" s="173">
        <v>108.751255</v>
      </c>
      <c r="Q109" s="173">
        <v>89.282236999999995</v>
      </c>
      <c r="R109" s="173">
        <v>94.671989999999994</v>
      </c>
      <c r="S109" s="173">
        <v>147.019094</v>
      </c>
      <c r="T109" s="173">
        <v>129.86778200000001</v>
      </c>
      <c r="U109" s="173">
        <v>169.43657200000001</v>
      </c>
      <c r="V109" s="173">
        <v>210.63246799999999</v>
      </c>
      <c r="W109" s="173">
        <v>148.53897900000001</v>
      </c>
      <c r="X109" s="173">
        <v>38.515270999999998</v>
      </c>
      <c r="Y109"/>
      <c r="Z109"/>
    </row>
    <row r="110" spans="1:26" ht="15">
      <c r="A110" s="211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24.702621000000001</v>
      </c>
      <c r="P110" s="173">
        <v>26.401495000000001</v>
      </c>
      <c r="Q110" s="173">
        <v>31.905954000000001</v>
      </c>
      <c r="R110" s="173">
        <v>35.953691999999997</v>
      </c>
      <c r="S110" s="173">
        <v>35.545333999999997</v>
      </c>
      <c r="T110" s="173">
        <v>36.232920999999997</v>
      </c>
      <c r="U110" s="173">
        <v>42.799511000000003</v>
      </c>
      <c r="V110" s="173">
        <v>40.849065000000003</v>
      </c>
      <c r="W110" s="173">
        <v>36.573205000000002</v>
      </c>
      <c r="X110" s="173">
        <v>9.2185410000000001</v>
      </c>
      <c r="Y110"/>
      <c r="Z110"/>
    </row>
    <row r="111" spans="1:26" ht="15">
      <c r="A111" s="211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0.62341999999999997</v>
      </c>
      <c r="V111" s="173">
        <v>1.3289139999999999</v>
      </c>
      <c r="W111" s="173">
        <v>1.1101749999999999</v>
      </c>
      <c r="X111" s="173">
        <v>0</v>
      </c>
      <c r="Y111"/>
      <c r="Z111"/>
    </row>
    <row r="112" spans="1:26" ht="15">
      <c r="A112" s="211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802.65790300000003</v>
      </c>
      <c r="K112" s="174">
        <v>744.75916099999995</v>
      </c>
      <c r="L112" s="174">
        <v>803.86761799999999</v>
      </c>
      <c r="M112" s="174">
        <v>730.19147599999997</v>
      </c>
      <c r="N112" s="174">
        <v>733.35031600000002</v>
      </c>
      <c r="O112" s="174">
        <v>741.144363</v>
      </c>
      <c r="P112" s="174">
        <v>691.386799</v>
      </c>
      <c r="Q112" s="174">
        <v>724.47731899999997</v>
      </c>
      <c r="R112" s="174">
        <v>704.93682799999999</v>
      </c>
      <c r="S112" s="174">
        <v>707.88841100000002</v>
      </c>
      <c r="T112" s="174">
        <v>692.21298300000001</v>
      </c>
      <c r="U112" s="174">
        <v>759.70508099999995</v>
      </c>
      <c r="V112" s="174">
        <v>781.58836799999995</v>
      </c>
      <c r="W112" s="174">
        <v>736.01638400000002</v>
      </c>
      <c r="X112" s="174">
        <v>228.966768</v>
      </c>
      <c r="Y112"/>
      <c r="Z112"/>
    </row>
    <row r="113" spans="1:26" ht="15">
      <c r="A113" s="212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741.144363</v>
      </c>
      <c r="P113" s="174">
        <v>691.386799</v>
      </c>
      <c r="Q113" s="174">
        <v>724.47731899999997</v>
      </c>
      <c r="R113" s="174">
        <v>704.93682799999999</v>
      </c>
      <c r="S113" s="174">
        <v>707.88841100000002</v>
      </c>
      <c r="T113" s="174">
        <v>692.21298300000001</v>
      </c>
      <c r="U113" s="174">
        <v>759.70508099999995</v>
      </c>
      <c r="V113" s="174">
        <v>781.58836799999995</v>
      </c>
      <c r="W113" s="174">
        <v>736.01638400000002</v>
      </c>
      <c r="X113" s="174">
        <v>228.966768</v>
      </c>
      <c r="Y113"/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septiembre 2023</v>
      </c>
      <c r="D117" s="111" t="str">
        <f t="shared" ref="D117:M117" si="6">TEXT(EDATE(E117,-1),"mmmm aaaa")</f>
        <v>octubre 2023</v>
      </c>
      <c r="E117" s="111" t="str">
        <f t="shared" si="6"/>
        <v>noviembre 2023</v>
      </c>
      <c r="F117" s="111" t="str">
        <f t="shared" si="6"/>
        <v>diciembre 2023</v>
      </c>
      <c r="G117" s="111" t="str">
        <f t="shared" si="6"/>
        <v>enero 2024</v>
      </c>
      <c r="H117" s="111" t="str">
        <f t="shared" si="6"/>
        <v>febrero 2024</v>
      </c>
      <c r="I117" s="111" t="str">
        <f t="shared" si="6"/>
        <v>marzo 2024</v>
      </c>
      <c r="J117" s="111" t="str">
        <f t="shared" si="6"/>
        <v>abril 2024</v>
      </c>
      <c r="K117" s="111" t="str">
        <f t="shared" si="6"/>
        <v>mayo 2024</v>
      </c>
      <c r="L117" s="111" t="str">
        <f t="shared" si="6"/>
        <v>junio 2024</v>
      </c>
      <c r="M117" s="111" t="str">
        <f t="shared" si="6"/>
        <v>julio 2024</v>
      </c>
      <c r="N117" s="111" t="str">
        <f>TEXT(EDATE(O117,-1),"mmmm aaaa")</f>
        <v>agosto 2024</v>
      </c>
      <c r="O117" s="112" t="str">
        <f>A2</f>
        <v>Septiembre 2024</v>
      </c>
    </row>
    <row r="118" spans="1:26">
      <c r="B118" s="209"/>
      <c r="C118" s="121" t="str">
        <f>TEXT(EDATE($A$2,-12),"mmm")&amp;".-"&amp;TEXT(EDATE($A$2,-12),"aa")</f>
        <v>sep.-23</v>
      </c>
      <c r="D118" s="121" t="str">
        <f>TEXT(EDATE($A$2,-11),"mmm")&amp;".-"&amp;TEXT(EDATE($A$2,-11),"aa")</f>
        <v>oct.-23</v>
      </c>
      <c r="E118" s="121" t="str">
        <f>TEXT(EDATE($A$2,-10),"mmm")&amp;".-"&amp;TEXT(EDATE($A$2,-10),"aa")</f>
        <v>nov.-23</v>
      </c>
      <c r="F118" s="121" t="str">
        <f>TEXT(EDATE($A$2,-9),"mmm")&amp;".-"&amp;TEXT(EDATE($A$2,-9),"aa")</f>
        <v>dic.-23</v>
      </c>
      <c r="G118" s="121" t="str">
        <f>TEXT(EDATE($A$2,-8),"mmm")&amp;".-"&amp;TEXT(EDATE($A$2,-8),"aa")</f>
        <v>ene.-24</v>
      </c>
      <c r="H118" s="121" t="str">
        <f>TEXT(EDATE($A$2,-7),"mmm")&amp;".-"&amp;TEXT(EDATE($A$2,-7),"aa")</f>
        <v>feb.-24</v>
      </c>
      <c r="I118" s="121" t="str">
        <f>TEXT(EDATE($A$2,-6),"mmm")&amp;".-"&amp;TEXT(EDATE($A$2,-6),"aa")</f>
        <v>mar.-24</v>
      </c>
      <c r="J118" s="121" t="str">
        <f>TEXT(EDATE($A$2,-5),"mmm")&amp;".-"&amp;TEXT(EDATE($A$2,-5),"aa")</f>
        <v>abr.-24</v>
      </c>
      <c r="K118" s="121" t="str">
        <f>TEXT(EDATE($A$2,-4),"mmm")&amp;".-"&amp;TEXT(EDATE($A$2,-4),"aa")</f>
        <v>may.-24</v>
      </c>
      <c r="L118" s="121" t="str">
        <f>TEXT(EDATE($A$2,-3),"mmm")&amp;".-"&amp;TEXT(EDATE($A$2,-3),"aa")</f>
        <v>jun.-24</v>
      </c>
      <c r="M118" s="121" t="str">
        <f>TEXT(EDATE($A$2,-2),"mmm")&amp;".-"&amp;TEXT(EDATE($A$2,-2),"aa")</f>
        <v>jul.-24</v>
      </c>
      <c r="N118" s="121" t="str">
        <f>TEXT(EDATE($A$2,-1),"mmm")&amp;".-"&amp;TEXT(EDATE($A$2,-1),"aa")</f>
        <v>ago.-24</v>
      </c>
      <c r="O118" s="143" t="str">
        <f>TEXT($A$2,"mmm")&amp;".-"&amp;TEXT($A$2,"aa")</f>
        <v>sep.-24</v>
      </c>
    </row>
    <row r="119" spans="1:26">
      <c r="A119" s="205" t="s">
        <v>76</v>
      </c>
      <c r="B119" s="122" t="s">
        <v>11</v>
      </c>
      <c r="C119" s="123">
        <f>HLOOKUP(C$117,$86:$101,3,FALSE)</f>
        <v>-0.82337800000000005</v>
      </c>
      <c r="D119" s="123">
        <f t="shared" ref="D119:N119" si="7">HLOOKUP(D$117,$86:$101,3,FALSE)</f>
        <v>-0.82724900000000001</v>
      </c>
      <c r="E119" s="123">
        <f t="shared" si="7"/>
        <v>-0.89542500000000003</v>
      </c>
      <c r="F119" s="123">
        <f t="shared" si="7"/>
        <v>-0.69586499999999996</v>
      </c>
      <c r="G119" s="123">
        <f t="shared" si="7"/>
        <v>-0.70605399999999996</v>
      </c>
      <c r="H119" s="123">
        <f t="shared" si="7"/>
        <v>-0.66276199999999996</v>
      </c>
      <c r="I119" s="123">
        <f t="shared" si="7"/>
        <v>-0.710283</v>
      </c>
      <c r="J119" s="123">
        <f t="shared" si="7"/>
        <v>-0.939218</v>
      </c>
      <c r="K119" s="123">
        <f t="shared" si="7"/>
        <v>22.073955999999999</v>
      </c>
      <c r="L119" s="123">
        <f t="shared" si="7"/>
        <v>26.418958</v>
      </c>
      <c r="M119" s="123">
        <f t="shared" si="7"/>
        <v>1.554179</v>
      </c>
      <c r="N119" s="123">
        <f t="shared" si="7"/>
        <v>-0.75178999999999996</v>
      </c>
      <c r="O119" s="124">
        <f>HLOOKUP(O$117,$86:$101,3,FALSE)</f>
        <v>-0.70974400000000004</v>
      </c>
    </row>
    <row r="120" spans="1:26">
      <c r="A120" s="206"/>
      <c r="B120" s="105" t="s">
        <v>10</v>
      </c>
      <c r="C120" s="107">
        <f>HLOOKUP(C$117,$86:$101,4,FALSE)</f>
        <v>32.782569000000002</v>
      </c>
      <c r="D120" s="107">
        <f t="shared" ref="D120:O120" si="8">HLOOKUP(D$117,$86:$101,4,FALSE)</f>
        <v>16.979832999999999</v>
      </c>
      <c r="E120" s="107">
        <f t="shared" si="8"/>
        <v>5.9974980000000002</v>
      </c>
      <c r="F120" s="107">
        <f t="shared" si="8"/>
        <v>6.2665600000000001</v>
      </c>
      <c r="G120" s="107">
        <f t="shared" si="8"/>
        <v>5.2892989999999998</v>
      </c>
      <c r="H120" s="107">
        <f t="shared" si="8"/>
        <v>4.8235140000000003</v>
      </c>
      <c r="I120" s="107">
        <f t="shared" si="8"/>
        <v>5.4357850000000001</v>
      </c>
      <c r="J120" s="107">
        <f t="shared" si="8"/>
        <v>18.212437000000001</v>
      </c>
      <c r="K120" s="107">
        <f t="shared" si="8"/>
        <v>11.891016</v>
      </c>
      <c r="L120" s="107">
        <f t="shared" si="8"/>
        <v>17.869899</v>
      </c>
      <c r="M120" s="107">
        <f t="shared" si="8"/>
        <v>51.149709999999999</v>
      </c>
      <c r="N120" s="107">
        <f t="shared" si="8"/>
        <v>62.806652999999997</v>
      </c>
      <c r="O120" s="124">
        <f t="shared" si="8"/>
        <v>36.525360999999997</v>
      </c>
    </row>
    <row r="121" spans="1:26">
      <c r="A121" s="206"/>
      <c r="B121" s="105" t="s">
        <v>9</v>
      </c>
      <c r="C121" s="107">
        <f>HLOOKUP(C$117,$86:$101,5,FALSE)</f>
        <v>49.271726999999998</v>
      </c>
      <c r="D121" s="107">
        <f t="shared" ref="D121:O121" si="9">HLOOKUP(D$117,$86:$101,5,FALSE)</f>
        <v>44.274278000000002</v>
      </c>
      <c r="E121" s="107">
        <f t="shared" si="9"/>
        <v>24.187601999999998</v>
      </c>
      <c r="F121" s="107">
        <f t="shared" si="9"/>
        <v>22.604486999999999</v>
      </c>
      <c r="G121" s="107">
        <f t="shared" si="9"/>
        <v>25.154277</v>
      </c>
      <c r="H121" s="107">
        <f t="shared" si="9"/>
        <v>23.798262999999999</v>
      </c>
      <c r="I121" s="107">
        <f t="shared" si="9"/>
        <v>24.938551</v>
      </c>
      <c r="J121" s="107">
        <f t="shared" si="9"/>
        <v>29.498771000000001</v>
      </c>
      <c r="K121" s="107">
        <f t="shared" si="9"/>
        <v>29.400922999999999</v>
      </c>
      <c r="L121" s="107">
        <f t="shared" si="9"/>
        <v>43.333288000000003</v>
      </c>
      <c r="M121" s="107">
        <f t="shared" si="9"/>
        <v>52.282953999999997</v>
      </c>
      <c r="N121" s="107">
        <f t="shared" si="9"/>
        <v>57.566750999999996</v>
      </c>
      <c r="O121" s="124">
        <f t="shared" si="9"/>
        <v>36.281736000000002</v>
      </c>
    </row>
    <row r="122" spans="1:26" ht="14.25">
      <c r="A122" s="206"/>
      <c r="B122" s="105" t="s">
        <v>74</v>
      </c>
      <c r="C122" s="107">
        <f>HLOOKUP(C$117,$86:$101,6,FALSE)</f>
        <v>296.32292799999999</v>
      </c>
      <c r="D122" s="107">
        <f t="shared" ref="D122:O122" si="10">HLOOKUP(D$117,$86:$101,6,FALSE)</f>
        <v>247.112684</v>
      </c>
      <c r="E122" s="107">
        <f t="shared" si="10"/>
        <v>224.26124200000001</v>
      </c>
      <c r="F122" s="107">
        <f t="shared" si="10"/>
        <v>233.91494</v>
      </c>
      <c r="G122" s="107">
        <f t="shared" si="10"/>
        <v>244.02029300000001</v>
      </c>
      <c r="H122" s="107">
        <f t="shared" si="10"/>
        <v>218.49136100000001</v>
      </c>
      <c r="I122" s="107">
        <f t="shared" si="10"/>
        <v>213.548517</v>
      </c>
      <c r="J122" s="107">
        <f t="shared" si="10"/>
        <v>205.68247400000001</v>
      </c>
      <c r="K122" s="107">
        <f t="shared" si="10"/>
        <v>206.763338</v>
      </c>
      <c r="L122" s="107">
        <f t="shared" si="10"/>
        <v>212.499032</v>
      </c>
      <c r="M122" s="107">
        <f t="shared" si="10"/>
        <v>272.94692199999997</v>
      </c>
      <c r="N122" s="107">
        <f t="shared" si="10"/>
        <v>333.50170400000002</v>
      </c>
      <c r="O122" s="124">
        <f t="shared" si="10"/>
        <v>245.22935200000001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0</v>
      </c>
      <c r="D124" s="107">
        <f t="shared" ref="D124:O124" si="12">HLOOKUP(D$117,$86:$102,8,FALSE)</f>
        <v>1.0359999999999999E-2</v>
      </c>
      <c r="E124" s="107">
        <f t="shared" si="12"/>
        <v>8.7279999999999996E-3</v>
      </c>
      <c r="F124" s="107">
        <f t="shared" si="12"/>
        <v>0</v>
      </c>
      <c r="G124" s="107">
        <f t="shared" si="12"/>
        <v>0</v>
      </c>
      <c r="H124" s="107">
        <f t="shared" si="12"/>
        <v>0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34.850726000000002</v>
      </c>
      <c r="D125" s="107">
        <f t="shared" ref="D125:O125" si="13">HLOOKUP(D$117,$86:$102,9,FALSE)</f>
        <v>32.896220999999997</v>
      </c>
      <c r="E125" s="107">
        <f t="shared" si="13"/>
        <v>24.884706000000001</v>
      </c>
      <c r="F125" s="107">
        <f t="shared" si="13"/>
        <v>22.636651000000001</v>
      </c>
      <c r="G125" s="107">
        <f t="shared" si="13"/>
        <v>24.18449</v>
      </c>
      <c r="H125" s="107">
        <f t="shared" si="13"/>
        <v>30.778489</v>
      </c>
      <c r="I125" s="107">
        <f t="shared" si="13"/>
        <v>45.305076999999997</v>
      </c>
      <c r="J125" s="107">
        <f t="shared" si="13"/>
        <v>44.568354999999997</v>
      </c>
      <c r="K125" s="107">
        <f t="shared" si="13"/>
        <v>58.305483000000002</v>
      </c>
      <c r="L125" s="107">
        <f t="shared" si="13"/>
        <v>53.291172000000003</v>
      </c>
      <c r="M125" s="107">
        <f t="shared" si="13"/>
        <v>60.161617</v>
      </c>
      <c r="N125" s="107">
        <f t="shared" si="13"/>
        <v>55.452837000000002</v>
      </c>
      <c r="O125" s="124">
        <f t="shared" si="13"/>
        <v>43.876615999999999</v>
      </c>
    </row>
    <row r="126" spans="1:26">
      <c r="A126" s="206"/>
      <c r="B126" s="113" t="s">
        <v>22</v>
      </c>
      <c r="C126" s="107">
        <f>HLOOKUP(C$117,$86:$102,10,FALSE)</f>
        <v>0.14128099999999999</v>
      </c>
      <c r="D126" s="107">
        <f t="shared" ref="D126:O126" si="14">HLOOKUP(D$117,$86:$102,10,FALSE)</f>
        <v>0.14801500000000001</v>
      </c>
      <c r="E126" s="107">
        <f t="shared" si="14"/>
        <v>0.14354</v>
      </c>
      <c r="F126" s="107">
        <f t="shared" si="14"/>
        <v>0.12625700000000001</v>
      </c>
      <c r="G126" s="107">
        <f t="shared" si="14"/>
        <v>0.10423</v>
      </c>
      <c r="H126" s="107">
        <f t="shared" si="14"/>
        <v>3.9530000000000003E-2</v>
      </c>
      <c r="I126" s="107">
        <f t="shared" si="14"/>
        <v>4.0002000000000003E-2</v>
      </c>
      <c r="J126" s="107">
        <f t="shared" si="14"/>
        <v>1.5544000000000001E-2</v>
      </c>
      <c r="K126" s="107">
        <f t="shared" si="14"/>
        <v>4.1384999999999998E-2</v>
      </c>
      <c r="L126" s="107">
        <f t="shared" si="14"/>
        <v>7.8099000000000002E-2</v>
      </c>
      <c r="M126" s="107">
        <f t="shared" si="14"/>
        <v>0.18402499999999999</v>
      </c>
      <c r="N126" s="107">
        <f t="shared" si="14"/>
        <v>0.28992600000000002</v>
      </c>
      <c r="O126" s="124">
        <f t="shared" si="14"/>
        <v>0.364813</v>
      </c>
    </row>
    <row r="127" spans="1:26">
      <c r="A127" s="206"/>
      <c r="B127" s="113" t="s">
        <v>23</v>
      </c>
      <c r="C127" s="107">
        <f>HLOOKUP(C$117,$86:$102,11,FALSE)</f>
        <v>2.995241</v>
      </c>
      <c r="D127" s="107">
        <f t="shared" ref="D127:O127" si="15">HLOOKUP(D$117,$86:$102,11,FALSE)</f>
        <v>1.6210690000000001</v>
      </c>
      <c r="E127" s="107">
        <f t="shared" si="15"/>
        <v>1.996553</v>
      </c>
      <c r="F127" s="107">
        <f t="shared" si="15"/>
        <v>3.1565249999999998</v>
      </c>
      <c r="G127" s="107">
        <f t="shared" si="15"/>
        <v>3.9370180000000001</v>
      </c>
      <c r="H127" s="107">
        <f t="shared" si="15"/>
        <v>3.7397490000000002</v>
      </c>
      <c r="I127" s="107">
        <f t="shared" si="15"/>
        <v>3.4851179999999999</v>
      </c>
      <c r="J127" s="107">
        <f t="shared" si="15"/>
        <v>1.9095409999999999</v>
      </c>
      <c r="K127" s="107">
        <f t="shared" si="15"/>
        <v>3.5397620000000001</v>
      </c>
      <c r="L127" s="107">
        <f t="shared" si="15"/>
        <v>3.4609559999999999</v>
      </c>
      <c r="M127" s="107">
        <f t="shared" si="15"/>
        <v>3.2774670000000001</v>
      </c>
      <c r="N127" s="107">
        <f t="shared" si="15"/>
        <v>3.1243509999999999</v>
      </c>
      <c r="O127" s="124">
        <f t="shared" si="15"/>
        <v>2.778902</v>
      </c>
    </row>
    <row r="128" spans="1:26">
      <c r="A128" s="206"/>
      <c r="B128" s="105" t="s">
        <v>55</v>
      </c>
      <c r="C128" s="107">
        <f t="shared" ref="C128:O128" si="16">HLOOKUP(C$117,$86:$102,13,FALSE)</f>
        <v>9.9340825000000006</v>
      </c>
      <c r="D128" s="107">
        <f t="shared" si="16"/>
        <v>10.861402</v>
      </c>
      <c r="E128" s="107">
        <f t="shared" si="16"/>
        <v>10.810193999999999</v>
      </c>
      <c r="F128" s="107">
        <f t="shared" si="16"/>
        <v>8.9918355000000005</v>
      </c>
      <c r="G128" s="107">
        <f t="shared" si="16"/>
        <v>10.485035</v>
      </c>
      <c r="H128" s="107">
        <f t="shared" si="16"/>
        <v>5.6085469999999997</v>
      </c>
      <c r="I128" s="107">
        <f t="shared" si="16"/>
        <v>12.829401000000001</v>
      </c>
      <c r="J128" s="107">
        <f t="shared" si="16"/>
        <v>11.323399</v>
      </c>
      <c r="K128" s="107">
        <f t="shared" si="16"/>
        <v>12.2750895</v>
      </c>
      <c r="L128" s="107">
        <f t="shared" si="16"/>
        <v>16.584269500000001</v>
      </c>
      <c r="M128" s="107">
        <f t="shared" si="16"/>
        <v>15.726691000000001</v>
      </c>
      <c r="N128" s="107">
        <f t="shared" si="16"/>
        <v>15.578734000000001</v>
      </c>
      <c r="O128" s="124">
        <f t="shared" si="16"/>
        <v>14.1961285</v>
      </c>
    </row>
    <row r="129" spans="1:15">
      <c r="A129" s="206"/>
      <c r="B129" s="105" t="s">
        <v>54</v>
      </c>
      <c r="C129" s="107">
        <f>HLOOKUP(C$117,$86:$102,12,FALSE)</f>
        <v>9.9340825000000006</v>
      </c>
      <c r="D129" s="107">
        <f t="shared" ref="D129:O129" si="17">HLOOKUP(D$117,$86:$102,12,FALSE)</f>
        <v>10.861402</v>
      </c>
      <c r="E129" s="107">
        <f t="shared" si="17"/>
        <v>10.810193999999999</v>
      </c>
      <c r="F129" s="107">
        <f t="shared" si="17"/>
        <v>8.9918355000000005</v>
      </c>
      <c r="G129" s="107">
        <f t="shared" si="17"/>
        <v>10.485035</v>
      </c>
      <c r="H129" s="107">
        <f t="shared" si="17"/>
        <v>5.6085469999999997</v>
      </c>
      <c r="I129" s="107">
        <f t="shared" si="17"/>
        <v>12.829401000000001</v>
      </c>
      <c r="J129" s="107">
        <f t="shared" si="17"/>
        <v>11.323399</v>
      </c>
      <c r="K129" s="107">
        <f t="shared" si="17"/>
        <v>12.2750895</v>
      </c>
      <c r="L129" s="107">
        <f t="shared" si="17"/>
        <v>16.584269500000001</v>
      </c>
      <c r="M129" s="107">
        <f t="shared" si="17"/>
        <v>15.726691000000001</v>
      </c>
      <c r="N129" s="107">
        <f t="shared" si="17"/>
        <v>15.578734000000001</v>
      </c>
      <c r="O129" s="124">
        <f t="shared" si="17"/>
        <v>14.1961285</v>
      </c>
    </row>
    <row r="130" spans="1:15">
      <c r="A130" s="206"/>
      <c r="B130" s="114" t="s">
        <v>2</v>
      </c>
      <c r="C130" s="115">
        <f>HLOOKUP(C$117,$86:$102,14,FALSE)</f>
        <v>435.40925900000002</v>
      </c>
      <c r="D130" s="115">
        <f t="shared" ref="D130:O130" si="18">HLOOKUP(D$117,$86:$102,14,FALSE)</f>
        <v>363.93801500000001</v>
      </c>
      <c r="E130" s="115">
        <f t="shared" si="18"/>
        <v>302.20483200000001</v>
      </c>
      <c r="F130" s="115">
        <f t="shared" si="18"/>
        <v>305.99322599999999</v>
      </c>
      <c r="G130" s="115">
        <f t="shared" si="18"/>
        <v>322.95362299999999</v>
      </c>
      <c r="H130" s="115">
        <f t="shared" si="18"/>
        <v>292.22523799999999</v>
      </c>
      <c r="I130" s="115">
        <f t="shared" si="18"/>
        <v>317.70156900000001</v>
      </c>
      <c r="J130" s="115">
        <f t="shared" si="18"/>
        <v>321.59470199999998</v>
      </c>
      <c r="K130" s="115">
        <f t="shared" si="18"/>
        <v>356.56604199999998</v>
      </c>
      <c r="L130" s="115">
        <f t="shared" si="18"/>
        <v>390.11994299999998</v>
      </c>
      <c r="M130" s="115">
        <f t="shared" si="18"/>
        <v>473.01025600000003</v>
      </c>
      <c r="N130" s="115">
        <f t="shared" si="18"/>
        <v>543.14790000000005</v>
      </c>
      <c r="O130" s="125">
        <f t="shared" si="18"/>
        <v>392.73929299999998</v>
      </c>
    </row>
    <row r="131" spans="1:15">
      <c r="A131" s="206"/>
      <c r="B131" s="105" t="s">
        <v>21</v>
      </c>
      <c r="C131" s="116">
        <f>HLOOKUP(C$117,$86:$102,15,FALSE)</f>
        <v>130.854702</v>
      </c>
      <c r="D131" s="116">
        <f t="shared" ref="D131:O131" si="19">HLOOKUP(D$117,$86:$102,15,FALSE)</f>
        <v>131.44748999999999</v>
      </c>
      <c r="E131" s="116">
        <f t="shared" si="19"/>
        <v>70.735690000000005</v>
      </c>
      <c r="F131" s="116">
        <f t="shared" si="19"/>
        <v>112.440268</v>
      </c>
      <c r="G131" s="116">
        <f t="shared" si="19"/>
        <v>122.760274</v>
      </c>
      <c r="H131" s="116">
        <f t="shared" si="19"/>
        <v>114.74408200000001</v>
      </c>
      <c r="I131" s="116">
        <f t="shared" si="19"/>
        <v>110.667727</v>
      </c>
      <c r="J131" s="116">
        <f t="shared" si="19"/>
        <v>109.36235000000001</v>
      </c>
      <c r="K131" s="116">
        <f t="shared" si="19"/>
        <v>117.764884</v>
      </c>
      <c r="L131" s="116">
        <f t="shared" si="19"/>
        <v>145.36358899999999</v>
      </c>
      <c r="M131" s="116">
        <f t="shared" si="19"/>
        <v>208.454387</v>
      </c>
      <c r="N131" s="116">
        <f t="shared" si="19"/>
        <v>187.956546</v>
      </c>
      <c r="O131" s="116">
        <f t="shared" si="19"/>
        <v>162.00915900000001</v>
      </c>
    </row>
    <row r="132" spans="1:15">
      <c r="A132" s="206"/>
      <c r="B132" s="117" t="s">
        <v>1</v>
      </c>
      <c r="C132" s="118">
        <f>HLOOKUP(C$117,$86:$102,16,FALSE)</f>
        <v>566.26396099999999</v>
      </c>
      <c r="D132" s="118">
        <f t="shared" ref="D132:O132" si="20">HLOOKUP(D$117,$86:$102,16,FALSE)</f>
        <v>495.38550500000002</v>
      </c>
      <c r="E132" s="118">
        <f t="shared" si="20"/>
        <v>372.94052199999999</v>
      </c>
      <c r="F132" s="118">
        <f t="shared" si="20"/>
        <v>418.433494</v>
      </c>
      <c r="G132" s="118">
        <f t="shared" si="20"/>
        <v>445.71389699999997</v>
      </c>
      <c r="H132" s="118">
        <f t="shared" si="20"/>
        <v>406.96931999999998</v>
      </c>
      <c r="I132" s="118">
        <f t="shared" si="20"/>
        <v>428.36929600000002</v>
      </c>
      <c r="J132" s="118">
        <f t="shared" si="20"/>
        <v>430.95705199999998</v>
      </c>
      <c r="K132" s="118">
        <f t="shared" si="20"/>
        <v>474.33092599999998</v>
      </c>
      <c r="L132" s="118">
        <f t="shared" si="20"/>
        <v>535.48353199999997</v>
      </c>
      <c r="M132" s="118">
        <f t="shared" si="20"/>
        <v>681.46464300000002</v>
      </c>
      <c r="N132" s="118">
        <f t="shared" si="20"/>
        <v>731.10444600000005</v>
      </c>
      <c r="O132" s="118">
        <f t="shared" si="20"/>
        <v>554.74845200000004</v>
      </c>
    </row>
    <row r="133" spans="1:15" ht="14.25">
      <c r="A133" s="207"/>
      <c r="B133" s="126" t="s">
        <v>75</v>
      </c>
      <c r="C133" s="127">
        <f>C120+C121+C123</f>
        <v>82.054295999999994</v>
      </c>
      <c r="D133" s="127">
        <f>D120+D121+D123</f>
        <v>61.254111000000002</v>
      </c>
      <c r="E133" s="127">
        <f t="shared" ref="E133:O133" si="21">E120+E121+E123</f>
        <v>30.185099999999998</v>
      </c>
      <c r="F133" s="127">
        <f t="shared" si="21"/>
        <v>28.871046999999997</v>
      </c>
      <c r="G133" s="127">
        <f t="shared" si="21"/>
        <v>30.443576</v>
      </c>
      <c r="H133" s="127">
        <f t="shared" si="21"/>
        <v>28.621776999999998</v>
      </c>
      <c r="I133" s="127">
        <f t="shared" si="21"/>
        <v>30.374336</v>
      </c>
      <c r="J133" s="127">
        <f t="shared" si="21"/>
        <v>47.711207999999999</v>
      </c>
      <c r="K133" s="127">
        <f t="shared" si="21"/>
        <v>41.291938999999999</v>
      </c>
      <c r="L133" s="127">
        <f t="shared" si="21"/>
        <v>61.203187</v>
      </c>
      <c r="M133" s="127">
        <f t="shared" si="21"/>
        <v>103.43266399999999</v>
      </c>
      <c r="N133" s="127">
        <f t="shared" si="21"/>
        <v>120.37340399999999</v>
      </c>
      <c r="O133" s="127">
        <f t="shared" si="21"/>
        <v>72.807096999999999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sep.-23</v>
      </c>
      <c r="D134" s="111" t="str">
        <f>TEXT(EDATE($A$2,-11),"mmm")&amp;".-"&amp;TEXT(EDATE($A$2,-11),"aa")</f>
        <v>oct.-23</v>
      </c>
      <c r="E134" s="111" t="str">
        <f>TEXT(EDATE($A$2,-10),"mmm")&amp;".-"&amp;TEXT(EDATE($A$2,-10),"aa")</f>
        <v>nov.-23</v>
      </c>
      <c r="F134" s="111" t="str">
        <f>TEXT(EDATE($A$2,-9),"mmm")&amp;".-"&amp;TEXT(EDATE($A$2,-9),"aa")</f>
        <v>dic.-23</v>
      </c>
      <c r="G134" s="111" t="str">
        <f>TEXT(EDATE($A$2,-8),"mmm")&amp;".-"&amp;TEXT(EDATE($A$2,-8),"aa")</f>
        <v>ene.-24</v>
      </c>
      <c r="H134" s="111" t="str">
        <f>TEXT(EDATE($A$2,-7),"mmm")&amp;".-"&amp;TEXT(EDATE($A$2,-7),"aa")</f>
        <v>feb.-24</v>
      </c>
      <c r="I134" s="111" t="str">
        <f>TEXT(EDATE($A$2,-6),"mmm")&amp;".-"&amp;TEXT(EDATE($A$2,-6),"aa")</f>
        <v>mar.-24</v>
      </c>
      <c r="J134" s="111" t="str">
        <f>TEXT(EDATE($A$2,-5),"mmm")&amp;".-"&amp;TEXT(EDATE($A$2,-5),"aa")</f>
        <v>abr.-24</v>
      </c>
      <c r="K134" s="111" t="str">
        <f>TEXT(EDATE($A$2,-4),"mmm")&amp;".-"&amp;TEXT(EDATE($A$2,-4),"aa")</f>
        <v>may.-24</v>
      </c>
      <c r="L134" s="111" t="str">
        <f>TEXT(EDATE($A$2,-3),"mmm")&amp;".-"&amp;TEXT(EDATE($A$2,-3),"aa")</f>
        <v>jun.-24</v>
      </c>
      <c r="M134" s="111" t="str">
        <f>TEXT(EDATE($A$2,-2),"mmm")&amp;".-"&amp;TEXT(EDATE($A$2,-2),"aa")</f>
        <v>jul.-24</v>
      </c>
      <c r="N134" s="111" t="str">
        <f>TEXT(EDATE($A$2,-1),"mmm")&amp;".-"&amp;TEXT(EDATE($A$2,-1),"aa")</f>
        <v>ago.-24</v>
      </c>
      <c r="O134" s="112" t="str">
        <f>TEXT($A$2,"mmm")&amp;".-"&amp;TEXT($A$2,"aa")</f>
        <v>sep.-24</v>
      </c>
    </row>
    <row r="135" spans="1:15" ht="15" customHeight="1">
      <c r="A135" s="206"/>
      <c r="B135" s="105" t="s">
        <v>12</v>
      </c>
      <c r="C135" s="107">
        <f>HLOOKUP(C$117,$86:$115,17,FALSE)</f>
        <v>0.28924100000000003</v>
      </c>
      <c r="D135" s="107">
        <f t="shared" ref="D135:N135" si="22">HLOOKUP(D$117,$86:$115,17,FALSE)</f>
        <v>0.30332900000000002</v>
      </c>
      <c r="E135" s="107">
        <f t="shared" si="22"/>
        <v>0.28045300000000001</v>
      </c>
      <c r="F135" s="107">
        <f t="shared" si="22"/>
        <v>0.30560300000000001</v>
      </c>
      <c r="G135" s="107">
        <f t="shared" si="22"/>
        <v>0.29624200000000001</v>
      </c>
      <c r="H135" s="107">
        <f t="shared" si="22"/>
        <v>0.28508299999999998</v>
      </c>
      <c r="I135" s="107">
        <f t="shared" si="22"/>
        <v>0.272924</v>
      </c>
      <c r="J135" s="107">
        <f t="shared" si="22"/>
        <v>0.258407</v>
      </c>
      <c r="K135" s="107">
        <f t="shared" si="22"/>
        <v>0.28213199999999999</v>
      </c>
      <c r="L135" s="107">
        <f t="shared" si="22"/>
        <v>0.27541500000000002</v>
      </c>
      <c r="M135" s="107">
        <f t="shared" si="22"/>
        <v>0.290603</v>
      </c>
      <c r="N135" s="107">
        <f t="shared" si="22"/>
        <v>0.28181699999999998</v>
      </c>
      <c r="O135" s="144">
        <f>HLOOKUP(O$117,$86:$115,17,FALSE)</f>
        <v>0.27621200000000001</v>
      </c>
    </row>
    <row r="136" spans="1:15">
      <c r="A136" s="206"/>
      <c r="B136" s="105" t="s">
        <v>10</v>
      </c>
      <c r="C136" s="107">
        <f>HLOOKUP(C$117,$86:$115,18,FALSE)+HLOOKUP(C$117,$86:$115,22,FALSE)</f>
        <v>154.76962499999999</v>
      </c>
      <c r="D136" s="107">
        <f>HLOOKUP(D$117,$86:$115,18,FALSE)+HLOOKUP(D$117,$86:$115,22,FALSE)</f>
        <v>179.17001500000001</v>
      </c>
      <c r="E136" s="107">
        <f t="shared" ref="E136:N136" si="23">HLOOKUP(E$117,$86:$115,18,FALSE)+HLOOKUP(E$117,$86:$115,22,FALSE)</f>
        <v>168.212242</v>
      </c>
      <c r="F136" s="107">
        <f t="shared" si="23"/>
        <v>171.03571600000001</v>
      </c>
      <c r="G136" s="107">
        <f t="shared" si="23"/>
        <v>166.77709300000001</v>
      </c>
      <c r="H136" s="107">
        <f t="shared" si="23"/>
        <v>147.58979299999999</v>
      </c>
      <c r="I136" s="107">
        <f t="shared" si="23"/>
        <v>156.05254400000001</v>
      </c>
      <c r="J136" s="107">
        <f t="shared" si="23"/>
        <v>143.99597600000001</v>
      </c>
      <c r="K136" s="107">
        <f t="shared" si="23"/>
        <v>142.89773500000001</v>
      </c>
      <c r="L136" s="107">
        <f t="shared" si="23"/>
        <v>147.24789200000001</v>
      </c>
      <c r="M136" s="107">
        <f t="shared" si="23"/>
        <v>156.974729</v>
      </c>
      <c r="N136" s="107">
        <f t="shared" si="23"/>
        <v>149.168069</v>
      </c>
      <c r="O136" s="124">
        <f>HLOOKUP(O$117,$86:$115,18,FALSE)+HLOOKUP(O$117,$86:$115,22,FALSE)</f>
        <v>154.83455499999999</v>
      </c>
    </row>
    <row r="137" spans="1:15">
      <c r="A137" s="206"/>
      <c r="B137" s="105" t="s">
        <v>9</v>
      </c>
      <c r="C137" s="107">
        <f>HLOOKUP(C$117,$86:$115,19,FALSE)</f>
        <v>18.188441000000001</v>
      </c>
      <c r="D137" s="107">
        <f t="shared" ref="D137:O137" si="24">HLOOKUP(D$117,$86:$115,19,FALSE)</f>
        <v>30.707764999999998</v>
      </c>
      <c r="E137" s="107">
        <f t="shared" si="24"/>
        <v>24.331886999999998</v>
      </c>
      <c r="F137" s="107">
        <f t="shared" si="24"/>
        <v>26.447642999999999</v>
      </c>
      <c r="G137" s="107">
        <f t="shared" si="24"/>
        <v>28.032011000000001</v>
      </c>
      <c r="H137" s="107">
        <f t="shared" si="24"/>
        <v>23.301389</v>
      </c>
      <c r="I137" s="107">
        <f t="shared" si="24"/>
        <v>22.780221000000001</v>
      </c>
      <c r="J137" s="107">
        <f t="shared" si="24"/>
        <v>15.018001</v>
      </c>
      <c r="K137" s="107">
        <f t="shared" si="24"/>
        <v>13.174446</v>
      </c>
      <c r="L137" s="107">
        <f t="shared" si="24"/>
        <v>26.579124</v>
      </c>
      <c r="M137" s="107">
        <f t="shared" si="24"/>
        <v>16.279032000000001</v>
      </c>
      <c r="N137" s="107">
        <f t="shared" si="24"/>
        <v>15.569345999999999</v>
      </c>
      <c r="O137" s="124">
        <f t="shared" si="24"/>
        <v>24.246791000000002</v>
      </c>
    </row>
    <row r="138" spans="1:15">
      <c r="A138" s="206"/>
      <c r="B138" s="105" t="s">
        <v>8</v>
      </c>
      <c r="C138" s="107">
        <f>HLOOKUP(C$117,$86:$115,20,FALSE)</f>
        <v>105.510948</v>
      </c>
      <c r="D138" s="107">
        <f t="shared" ref="D138:O138" si="25">HLOOKUP(D$117,$86:$115,20,FALSE)</f>
        <v>119.677701</v>
      </c>
      <c r="E138" s="107">
        <f t="shared" si="25"/>
        <v>90.916317000000006</v>
      </c>
      <c r="F138" s="107">
        <f t="shared" si="25"/>
        <v>96.450059999999993</v>
      </c>
      <c r="G138" s="107">
        <f t="shared" si="25"/>
        <v>118.36447</v>
      </c>
      <c r="H138" s="107">
        <f t="shared" si="25"/>
        <v>100.186932</v>
      </c>
      <c r="I138" s="107">
        <f t="shared" si="25"/>
        <v>116.04889799999999</v>
      </c>
      <c r="J138" s="107">
        <f t="shared" si="25"/>
        <v>98.285223000000002</v>
      </c>
      <c r="K138" s="107">
        <f t="shared" si="25"/>
        <v>106.53814</v>
      </c>
      <c r="L138" s="107">
        <f t="shared" si="25"/>
        <v>79.128829999999994</v>
      </c>
      <c r="M138" s="107">
        <f t="shared" si="25"/>
        <v>105.68064699999999</v>
      </c>
      <c r="N138" s="107">
        <f t="shared" si="25"/>
        <v>101.50272699999999</v>
      </c>
      <c r="O138" s="124">
        <f t="shared" si="25"/>
        <v>73.604264000000001</v>
      </c>
    </row>
    <row r="139" spans="1:15" ht="14.25">
      <c r="A139" s="206"/>
      <c r="B139" s="105" t="s">
        <v>74</v>
      </c>
      <c r="C139" s="107">
        <f>HLOOKUP(C$117,$86:$115,21,FALSE)</f>
        <v>329.65078499999998</v>
      </c>
      <c r="D139" s="107">
        <f t="shared" ref="D139:O139" si="26">HLOOKUP(D$117,$86:$115,21,FALSE)</f>
        <v>385.37423100000001</v>
      </c>
      <c r="E139" s="107">
        <f t="shared" si="26"/>
        <v>320.60776499999997</v>
      </c>
      <c r="F139" s="107">
        <f t="shared" si="26"/>
        <v>343.70541600000001</v>
      </c>
      <c r="G139" s="107">
        <f t="shared" si="26"/>
        <v>348.60822999999999</v>
      </c>
      <c r="H139" s="107">
        <f t="shared" si="26"/>
        <v>282.95672999999999</v>
      </c>
      <c r="I139" s="107">
        <f t="shared" si="26"/>
        <v>305.966994</v>
      </c>
      <c r="J139" s="107">
        <f t="shared" si="26"/>
        <v>315.19474500000001</v>
      </c>
      <c r="K139" s="107">
        <f t="shared" si="26"/>
        <v>259.74817300000001</v>
      </c>
      <c r="L139" s="107">
        <f t="shared" si="26"/>
        <v>269.75380799999999</v>
      </c>
      <c r="M139" s="107">
        <f t="shared" si="26"/>
        <v>264.109264</v>
      </c>
      <c r="N139" s="107">
        <f t="shared" si="26"/>
        <v>258.28017799999998</v>
      </c>
      <c r="O139" s="124">
        <f t="shared" si="26"/>
        <v>294.563964</v>
      </c>
    </row>
    <row r="140" spans="1:15">
      <c r="A140" s="206"/>
      <c r="B140" s="105" t="s">
        <v>6</v>
      </c>
      <c r="C140" s="107">
        <f>HLOOKUP(C$117,$86:$115,23,FALSE)</f>
        <v>1.3149919999999999</v>
      </c>
      <c r="D140" s="107">
        <f t="shared" ref="D140:O140" si="27">HLOOKUP(D$117,$86:$115,23,FALSE)</f>
        <v>0.44324000000000002</v>
      </c>
      <c r="E140" s="107">
        <f t="shared" si="27"/>
        <v>1.0899650000000001</v>
      </c>
      <c r="F140" s="107">
        <f t="shared" si="27"/>
        <v>0.66913</v>
      </c>
      <c r="G140" s="107">
        <f t="shared" si="27"/>
        <v>0.66808100000000004</v>
      </c>
      <c r="H140" s="107">
        <f t="shared" si="27"/>
        <v>1.414679</v>
      </c>
      <c r="I140" s="107">
        <f t="shared" si="27"/>
        <v>1.5891550000000001</v>
      </c>
      <c r="J140" s="107">
        <f t="shared" si="27"/>
        <v>1.2945469999999999</v>
      </c>
      <c r="K140" s="107">
        <f t="shared" si="27"/>
        <v>2.2523740000000001</v>
      </c>
      <c r="L140" s="107">
        <f t="shared" si="27"/>
        <v>2.6292490000000002</v>
      </c>
      <c r="M140" s="107">
        <f t="shared" si="27"/>
        <v>3.5113029999999998</v>
      </c>
      <c r="N140" s="107">
        <f t="shared" si="27"/>
        <v>3.975784</v>
      </c>
      <c r="O140" s="124">
        <f t="shared" si="27"/>
        <v>2.2682389999999999</v>
      </c>
    </row>
    <row r="141" spans="1:15">
      <c r="A141" s="206"/>
      <c r="B141" s="105" t="s">
        <v>5</v>
      </c>
      <c r="C141" s="107">
        <f>HLOOKUP(C$117,$86:$115,24,FALSE)</f>
        <v>103.255752</v>
      </c>
      <c r="D141" s="107">
        <f t="shared" ref="D141:O141" si="28">HLOOKUP(D$117,$86:$115,24,FALSE)</f>
        <v>57.760353000000002</v>
      </c>
      <c r="E141" s="107">
        <f t="shared" si="28"/>
        <v>99.230602000000005</v>
      </c>
      <c r="F141" s="107">
        <f t="shared" si="28"/>
        <v>70.608433000000005</v>
      </c>
      <c r="G141" s="107">
        <f t="shared" si="28"/>
        <v>53.195481000000001</v>
      </c>
      <c r="H141" s="107">
        <f t="shared" si="28"/>
        <v>108.751255</v>
      </c>
      <c r="I141" s="107">
        <f t="shared" si="28"/>
        <v>89.282236999999995</v>
      </c>
      <c r="J141" s="107">
        <f t="shared" si="28"/>
        <v>94.671989999999994</v>
      </c>
      <c r="K141" s="107">
        <f t="shared" si="28"/>
        <v>147.019094</v>
      </c>
      <c r="L141" s="107">
        <f t="shared" si="28"/>
        <v>129.86778200000001</v>
      </c>
      <c r="M141" s="107">
        <f t="shared" si="28"/>
        <v>169.43657200000001</v>
      </c>
      <c r="N141" s="107">
        <f t="shared" si="28"/>
        <v>210.63246799999999</v>
      </c>
      <c r="O141" s="124">
        <f t="shared" si="28"/>
        <v>148.53897900000001</v>
      </c>
    </row>
    <row r="142" spans="1:15">
      <c r="A142" s="206"/>
      <c r="B142" s="105" t="s">
        <v>4</v>
      </c>
      <c r="C142" s="107">
        <f>HLOOKUP(C$117,$86:$115,25,FALSE)</f>
        <v>31.407260000000001</v>
      </c>
      <c r="D142" s="107">
        <f t="shared" ref="D142:O142" si="29">HLOOKUP(D$117,$86:$115,25,FALSE)</f>
        <v>29.906251000000001</v>
      </c>
      <c r="E142" s="107">
        <f t="shared" si="29"/>
        <v>25.097702999999999</v>
      </c>
      <c r="F142" s="107">
        <f t="shared" si="29"/>
        <v>23.682936000000002</v>
      </c>
      <c r="G142" s="107">
        <f t="shared" si="29"/>
        <v>24.702621000000001</v>
      </c>
      <c r="H142" s="107">
        <f t="shared" si="29"/>
        <v>26.401495000000001</v>
      </c>
      <c r="I142" s="107">
        <f t="shared" si="29"/>
        <v>31.905954000000001</v>
      </c>
      <c r="J142" s="107">
        <f t="shared" si="29"/>
        <v>35.953691999999997</v>
      </c>
      <c r="K142" s="107">
        <f t="shared" si="29"/>
        <v>35.545333999999997</v>
      </c>
      <c r="L142" s="107">
        <f t="shared" si="29"/>
        <v>36.232920999999997</v>
      </c>
      <c r="M142" s="107">
        <f t="shared" si="29"/>
        <v>42.799511000000003</v>
      </c>
      <c r="N142" s="107">
        <f t="shared" si="29"/>
        <v>40.849065000000003</v>
      </c>
      <c r="O142" s="124">
        <f t="shared" si="29"/>
        <v>36.573205000000002</v>
      </c>
    </row>
    <row r="143" spans="1:15">
      <c r="A143" s="206"/>
      <c r="B143" s="105" t="s">
        <v>22</v>
      </c>
      <c r="C143" s="107">
        <f>HLOOKUP(C$117,$86:$115,26,FALSE)</f>
        <v>0.37211699999999998</v>
      </c>
      <c r="D143" s="107">
        <f t="shared" ref="D143:O143" si="30">HLOOKUP(D$117,$86:$115,26,FALSE)</f>
        <v>0.524733</v>
      </c>
      <c r="E143" s="107">
        <f t="shared" si="30"/>
        <v>0.42454199999999997</v>
      </c>
      <c r="F143" s="107">
        <f t="shared" si="30"/>
        <v>0.44537900000000002</v>
      </c>
      <c r="G143" s="107">
        <f t="shared" si="30"/>
        <v>0.50013399999999997</v>
      </c>
      <c r="H143" s="107">
        <f t="shared" si="30"/>
        <v>0.49944300000000003</v>
      </c>
      <c r="I143" s="107">
        <f t="shared" si="30"/>
        <v>0.57839200000000002</v>
      </c>
      <c r="J143" s="107">
        <f t="shared" si="30"/>
        <v>0.26424700000000001</v>
      </c>
      <c r="K143" s="107">
        <f t="shared" si="30"/>
        <v>0.430983</v>
      </c>
      <c r="L143" s="107">
        <f t="shared" si="30"/>
        <v>0.49796200000000002</v>
      </c>
      <c r="M143" s="107">
        <f t="shared" si="30"/>
        <v>0.62341999999999997</v>
      </c>
      <c r="N143" s="107">
        <f t="shared" si="30"/>
        <v>1.3289139999999999</v>
      </c>
      <c r="O143" s="124">
        <f t="shared" si="30"/>
        <v>1.1101749999999999</v>
      </c>
    </row>
    <row r="144" spans="1:15">
      <c r="A144" s="206"/>
      <c r="B144" s="117" t="s">
        <v>1</v>
      </c>
      <c r="C144" s="118">
        <f>HLOOKUP(C$117,$86:$115,28,FALSE)</f>
        <v>744.75916099999995</v>
      </c>
      <c r="D144" s="118">
        <f t="shared" ref="D144:O144" si="31">HLOOKUP(D$117,$86:$115,28,FALSE)</f>
        <v>803.86761799999999</v>
      </c>
      <c r="E144" s="118">
        <f t="shared" si="31"/>
        <v>730.19147599999997</v>
      </c>
      <c r="F144" s="118">
        <f t="shared" si="31"/>
        <v>733.35031600000002</v>
      </c>
      <c r="G144" s="118">
        <f t="shared" si="31"/>
        <v>741.144363</v>
      </c>
      <c r="H144" s="118">
        <f t="shared" si="31"/>
        <v>691.386799</v>
      </c>
      <c r="I144" s="118">
        <f t="shared" si="31"/>
        <v>724.47731899999997</v>
      </c>
      <c r="J144" s="118">
        <f t="shared" si="31"/>
        <v>704.93682799999999</v>
      </c>
      <c r="K144" s="118">
        <f t="shared" si="31"/>
        <v>707.88841100000002</v>
      </c>
      <c r="L144" s="118">
        <f t="shared" si="31"/>
        <v>692.21298300000001</v>
      </c>
      <c r="M144" s="118">
        <f t="shared" si="31"/>
        <v>759.70508099999995</v>
      </c>
      <c r="N144" s="118">
        <f t="shared" si="31"/>
        <v>781.58836799999995</v>
      </c>
      <c r="O144" s="118">
        <f t="shared" si="31"/>
        <v>736.01638400000002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278.46901400000002</v>
      </c>
      <c r="D146" s="130">
        <f t="shared" ref="D146:N146" si="32">SUM(D136:D138)</f>
        <v>329.55548099999999</v>
      </c>
      <c r="E146" s="130">
        <f t="shared" si="32"/>
        <v>283.46044599999999</v>
      </c>
      <c r="F146" s="130">
        <f t="shared" si="32"/>
        <v>293.93341900000001</v>
      </c>
      <c r="G146" s="130">
        <f t="shared" si="32"/>
        <v>313.17357400000003</v>
      </c>
      <c r="H146" s="130">
        <f t="shared" si="32"/>
        <v>271.07811399999997</v>
      </c>
      <c r="I146" s="130">
        <f t="shared" si="32"/>
        <v>294.881663</v>
      </c>
      <c r="J146" s="130">
        <f t="shared" si="32"/>
        <v>257.29920000000004</v>
      </c>
      <c r="K146" s="130">
        <f t="shared" si="32"/>
        <v>262.610321</v>
      </c>
      <c r="L146" s="130">
        <f t="shared" si="32"/>
        <v>252.95584600000001</v>
      </c>
      <c r="M146" s="130">
        <f t="shared" si="32"/>
        <v>278.93440799999996</v>
      </c>
      <c r="N146" s="130">
        <f t="shared" si="32"/>
        <v>266.24014199999999</v>
      </c>
      <c r="O146" s="131">
        <f>SUM(O136:O138)</f>
        <v>252.68561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126</v>
      </c>
      <c r="B152" s="159" t="s">
        <v>127</v>
      </c>
      <c r="C152" s="175">
        <v>-2.034E-2</v>
      </c>
      <c r="D152" s="175">
        <v>2.3700000000000001E-3</v>
      </c>
      <c r="E152" s="175">
        <v>-1.129E-2</v>
      </c>
      <c r="F152" s="175">
        <v>-1.142E-2</v>
      </c>
      <c r="G152" s="175">
        <v>-5.6100000000000004E-3</v>
      </c>
      <c r="H152" s="175">
        <v>-6.9999999999999999E-4</v>
      </c>
      <c r="I152" s="175">
        <v>-1.567E-2</v>
      </c>
      <c r="J152" s="175">
        <v>1.076E-2</v>
      </c>
      <c r="K152" s="175">
        <v>5.3899999999999998E-3</v>
      </c>
      <c r="L152" s="175">
        <v>-1.01E-3</v>
      </c>
      <c r="M152" s="175">
        <v>-1.183E-2</v>
      </c>
      <c r="N152" s="175">
        <v>1.823E-2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126</v>
      </c>
      <c r="B158" s="159" t="s">
        <v>127</v>
      </c>
      <c r="C158" s="175">
        <v>-1.174E-2</v>
      </c>
      <c r="D158" s="175">
        <v>-2.3500000000000001E-3</v>
      </c>
      <c r="E158" s="175">
        <v>-8.0000000000000007E-5</v>
      </c>
      <c r="F158" s="175">
        <v>-9.3100000000000006E-3</v>
      </c>
      <c r="G158" s="175">
        <v>8.3099999999999997E-3</v>
      </c>
      <c r="H158" s="175">
        <v>-3.6000000000000002E-4</v>
      </c>
      <c r="I158" s="175">
        <v>-3.1800000000000001E-3</v>
      </c>
      <c r="J158" s="175">
        <v>1.1849999999999999E-2</v>
      </c>
      <c r="K158" s="175">
        <v>1.8939999999999999E-2</v>
      </c>
      <c r="L158" s="175">
        <v>-5.1999999999999995E-4</v>
      </c>
      <c r="M158" s="175">
        <v>-5.9000000000000003E-4</v>
      </c>
      <c r="N158" s="175">
        <v>2.0049999999999998E-2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X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2024-10-11T11:41:48Z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