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OCT\INF_ELABORADA\"/>
    </mc:Choice>
  </mc:AlternateContent>
  <xr:revisionPtr revIDLastSave="0" documentId="14_{DAE57DEA-DC0E-45AF-B9B0-0614EF640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Dat_01!$A$85:$Y$113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2" l="1"/>
  <c r="M15" i="22"/>
  <c r="K12" i="22"/>
  <c r="J12" i="22"/>
  <c r="J15" i="22"/>
  <c r="H15" i="22"/>
  <c r="F11" i="22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<sst xmlns="http://schemas.openxmlformats.org/spreadsheetml/2006/main" count="427" uniqueCount="136">
  <si>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</si>
  <si>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</si>
  <si>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</si>
  <si>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</si>
  <si>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</si>
  <si>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</si>
  <si>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</si>
  <si>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</si>
  <si>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</si>
  <si>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</si>
  <si>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</si>
  <si>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</si>
  <si>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</si>
  <si>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</si>
  <si>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</si>
  <si>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</si>
  <si>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</si>
  <si>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</si>
  <si>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</si>
  <si>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</si>
  <si>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</si>
  <si>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</si>
  <si>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</si>
  <si>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</si>
  <si>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</si>
  <si>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</si>
  <si>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</si>
  <si>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</si>
  <si>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</si>
  <si>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</si>
  <si>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</si>
  <si>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</si>
  <si>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</si>
  <si>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</si>
  <si>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</si>
  <si>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</si>
  <si>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</si>
  <si>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</si>
  <si>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</si>
  <si>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</si>
  <si>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</si>
  <si>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</si>
  <si>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</si>
  <si>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</si>
  <si>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</si>
  <si>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</si>
  <si>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</si>
  <si>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</si>
  <si>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</si>
  <si>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</si>
  <si>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</si>
  <si>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</si>
  <si>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</si>
  <si>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</si>
  <si>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</si>
  <si>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</si>
  <si>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</si>
  <si>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</si>
  <si>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</si>
  <si>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</si>
  <si>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</si>
  <si>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</si>
  <si>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</si>
  <si>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</si>
  <si>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</si>
  <si>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</si>
  <si>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</si>
  <si>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</si>
  <si>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</si>
  <si>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</si>
  <si>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</si>
  <si>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</si>
  <si>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</si>
  <si>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</si>
  <si>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</si>
  <si>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</si>
  <si>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</si>
  <si>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</si>
  <si>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</si>
  <si>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</si>
  <si>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</si>
  <si>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</si>
  <si>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</si>
  <si>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</si>
  <si>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</si>
  <si>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</si>
  <si>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</si>
  <si>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</si>
  <si>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</si>
  <si>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</si>
  <si>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</si>
  <si>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</si>
  <si>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</si>
  <si>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</si>
  <si>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</si>
  <si>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</si>
  <si>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</si>
  <si>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</si>
  <si>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</si>
  <si>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</si>
  <si>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</si>
  <si>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</si>
  <si>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</si>
  <si>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</si>
  <si>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</si>
  <si>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</si>
  <si>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</si>
  <si>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</si>
  <si>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</si>
  <si>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</si>
  <si>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</si>
  <si>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</si>
  <si>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</si>
  <si>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</si>
  <si>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</si>
  <si>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</si>
  <si>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</si>
  <si>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</si>
  <si>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</si>
  <si>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</si>
  <si>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</si>
  <si>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</si>
  <si>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</si>
  <si>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</si>
  <si>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</si>
  <si>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</si>
  <si>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</si>
  <si>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</si>
  <si>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31/10/2024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</si>
  <si>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11:32:15" si="2.000000017aa9a14a5c34fa9530403f3c3f8cacb052ac20e7a8231c92a3c24fc435762a3d6ef1fe160a8419e11df74d1435ab9eb94a3e57d0a53d87ec1aa2ee5b86e8d69d5044a222e4cc2978fb4f3e167dd5ff1805918b8ac1ca0148a6e97341ca9283d00b6968bd1e0ae0a26fbd4a2b713e488faf936c5453e973464ff6a04d08f99c10cab7f102a9a1a28a84597c2f6ac157155dd109cfe3efc3bbd8d06663afdc.p.3082.0.1.Europe/Madrid.upriv*_1*_pidn2*_3*_session*-lat*_1.000000012e68837972b6c9d5ad455c5277a11595bc6025e0a7a4aac2063143fd37ee0f086b2984aebbdb6ce63a928595747c420c37424943.0000000170e47c3b02b9bb773d9266d1cf129767bc6025e062e4aad4b47c8d42661be0e3378db917bf600f9225be5f7e4f50263c84bdc98f.0.1.1.BDEbi.D066E1C611E6257C10D00080EF253B44.0-3082.1.1_-0.1.0_-3082.1.1_5.5.0.*0.00000001e86caa94fedd0ea3a768b5fbef0842a7c911585adc5a9572d818bb4459156572d2797692.0.23.11*.2*.0400*.31152J.e.000000018b1e98c08635d88acc48116f4e35f567c911585ae2a3dfc4e8e10d4b686588d0ca9db606.0.10*.131*.122*.122.0.0" msgID="E98E39A511EFA1B29EC60080EF7501BD"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</si>
  <si>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11:37:07" si="2.000000017aa9a14a5c34fa9530403f3c3f8cacb052ac20e7a8231c92a3c24fc435762a3d6ef1fe160a8419e11df74d1435ab9eb94a3e57d0a53d87ec1aa2ee5b86e8d69d5044a222e4cc2978fb4f3e167dd5ff1805918b8ac1ca0148a6e97341ca9283d00b6968bd1e0ae0a26fbd4a2b713e488faf936c5453e973464ff6a04d08f99c10cab7f102a9a1a28a84597c2f6ac157155dd109cfe3efc3bbd8d06663afdc.p.3082.0.1.Europe/Madrid.upriv*_1*_pidn2*_3*_session*-lat*_1.000000012e68837972b6c9d5ad455c5277a11595bc6025e0a7a4aac2063143fd37ee0f086b2984aebbdb6ce63a928595747c420c37424943.0000000170e47c3b02b9bb773d9266d1cf129767bc6025e062e4aad4b47c8d42661be0e3378db917bf600f9225be5f7e4f50263c84bdc98f.0.1.1.BDEbi.D066E1C611E6257C10D00080EF253B44.0-3082.1.1_-0.1.0_-3082.1.1_5.5.0.*0.00000001e86caa94fedd0ea3a768b5fbef0842a7c911585adc5a9572d818bb4459156572d2797692.0.23.11*.2*.0400*.31152J.e.000000018b1e98c08635d88acc48116f4e35f567c911585ae2a3dfc4e8e10d4b686588d0ca9db606.0.10*.131*.122*.122.0.0" msgID="FF66C8D711EFA1B29EC60080EFD5C4C2"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nrr="1666" nrc="3136"&gt;&lt;pg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</si>
  <si>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Noviembre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</si>
  <si>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ut="11/13/2024 12:24:11" si="2.000000017aa9a14a5c34fa9530403f3c3f8cacb052ac20e7a8231c92a3c24fc435762a3d6ef1fe160a8419e11df74d1435ab9eb94a3e57d0a53d87ec1aa2ee5b86e8d69d5044a222e4cc2978fb4f3e167dd5ff1805918b8ac1ca0148a6e97341ca9283d00b6968bd1e0ae0a26fbd4a2b713e488faf936c5453e973464ff6a04d08f99c10cab7f102a9a1a28a84597c2f6ac157155dd109cfe3efc3bbd8d06663afdc.p.3082.0.1.Europe/Madrid.upriv*_1*_pidn2*_3*_session*-lat*_1.000000012e68837972b6c9d5ad455c5277a11595bc6025e0a7a4aac2063143fd37ee0f086b2984aebbdb6ce63a928595747c420c37424943.0000000170e47c3b02b9bb773d9266d1cf129767bc6025e062e4aad4b47c8d42661be0e3378db917bf600f9225be5f7e4f50263c84bdc98f.0.1.1.BDEbi.D066E1C611E6257C10D00080EF253B44.0-3082.1.1_-0.1.0_-3082.1.1_5.5.0.*0.00000001e86caa94fedd0ea3a768b5fbef0842a7c911585adc5a9572d818bb4459156572d2797692.0.23.11*.2*.0400*.31152J.e.000000018b1e98c08635d88acc48116f4e35f567c911585ae2a3dfc4e8e10d4b686588d0ca9db606.0.10*.131*.122*.122.0.0" msgID="524C3BF311EFA1B99EC60080EF45A3C1"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cols="25" /&gt;&lt;esdo ews="" ece="" ptn="" /&gt;&lt;/excel&gt;&lt;pgs&gt;&lt;pg rows="26" cols="23" nrr="2433" nrc="1856"&gt;&lt;pg /&gt;&lt;bls&gt;&lt;bl sr="1" sc="1" rfetch="26" cfetch="23" posid="1" darows="0" dacols="1"&gt;&lt;excel&gt;&lt;epo ews="Dat_01" ece="A85" enr="MSTR.Serie_Balance_B.C._Mensual_Baleares_y_Canarias" ptn="" qtn="" rows="29" cols="25" /&gt;&lt;esdo ews="" ece="" ptn="" /&gt;&lt;/excel&gt;&lt;gridRng&gt;&lt;sect id="TITLE_AREA" rngprop="1:1:3:2" /&gt;&lt;sect id="ROWHEADERS_AREA" rngprop="4:1:26:2" /&gt;&lt;sect id="COLUMNHEADERS_AREA" rngprop="1:3:3:23" /&gt;&lt;sect id="DATA_AREA" rngprop="4:3:26:23"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</si>
  <si>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ut="11/13/2024 12:31:11" si="2.0000000125b021cef2652474c7a629b205bd6e11252bcf1bc969365d127cf462ff8030883986703751c8e4169d4a5dffdbe69364fdc5312ff2024c8a8097c1272eafeaed02292d8d1b49c134ec6a6a57ea40e991c03a70c7adefe189666e1439396bfaa31d371f3c844c1a96007c462bcdf45f45aab7bf1bc986c58b8e4b4a395fba276516f6647e1898951d44ee10bf81db8962c1ac6ec45e90414b125dfee94915.p.3082.0.1.Europe/Madrid.upriv*_1*_pidn2*_2*_session*-lat*_1.000000017dcc063e8a00903a8f1834fd3f7f5399bc6025e0d9bd0bc5169f109812918b4db9093a3c3845b3a1720384b2bf98189918302344.00000001d0da6531247b7c821ca072aec5650d38bc6025e05bff0153696117926f8bd11b5af3354a04fcf78f5bd77d30a9b4d1faa4f6aeee.0.1.1.BDEbi.D066E1C611E6257C10D00080EF253B44.0-3082.1.1_-0.1.0_-3082.1.1_5.5.0.*0.000000016f79125e199ad1c6e51b5fec726d9752c911585a3b32680f2c44845f1c9d3e94dae21158.0.23.11*.2*.0400*.31152J.e.0000000176733331dad60a00c699c70dfa1601aac911585ab504facfa7f8c8f010d04cd0a1bd57a8.0.10*.131*.122*.122.0.0" msgID="228141F511EFA1BB9EC60080EF65E2BF"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nrr="124" nrc="924"&gt;&lt;pg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</si>
  <si>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543ad74eea3e4a389fe4dce9cad07a68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</si>
  <si>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ut="11/13/2024 12:31:47" si="2.0000000125b021cef2652474c7a629b205bd6e11252bcf1bc969365d127cf462ff8030883986703751c8e4169d4a5dffdbe69364fdc5312ff2024c8a8097c1272eafeaed02292d8d1b49c134ec6a6a57ea40e991c03a70c7adefe189666e1439396bfaa31d371f3c844c1a96007c462bcdf45f45aab7bf1bc986c58b8e4b4a395fba276516f6647e1898951d44ee10bf81db8962c1ac6ec45e90414b125dfee94915.p.3082.0.1.Europe/Madrid.upriv*_1*_pidn2*_2*_session*-lat*_1.000000017dcc063e8a00903a8f1834fd3f7f5399bc6025e0d9bd0bc5169f109812918b4db9093a3c3845b3a1720384b2bf98189918302344.00000001d0da6531247b7c821ca072aec5650d38bc6025e05bff0153696117926f8bd11b5af3354a04fcf78f5bd77d30a9b4d1faa4f6aeee.0.1.1.BDEbi.D066E1C611E6257C10D00080EF253B44.0-3082.1.1_-0.1.0_-3082.1.1_5.5.0.*0.000000016f79125e199ad1c6e51b5fec726d9752c911585a3b32680f2c44845f1c9d3e94dae21158.0.23.11*.2*.0400*.31152J.e.0000000176733331dad60a00c699c70dfa1601aac911585ab504facfa7f8c8f010d04cd0a1bd57a8.0.10*.131*.122*.122.0.0" msgID="393629AA11EFA1BB9EC60080EF9542BF"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nrr="80" nrc="972"&gt;&lt;pg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</si>
</sst>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168" fontId="51" fillId="0" borderId="0" xfId="0" applyNumberFormat="1" applyFont="1"/>
    <xf numFmtId="0" fontId="51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07"/>
                  <c:y val="-2.3534645669291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245118750400103"/>
                  <c:y val="1.611122047244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1382101017860573"/>
                  <c:y val="0.23156850393700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70083861468536"/>
                  <c:y val="-1.306653543307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024390243902439"/>
                  <c:y val="-6.7824803149606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-8.7804878048780483E-2"/>
                  <c:y val="-0.20098039215686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8842225209653671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4.888190683129511</c:v>
                </c:pt>
                <c:pt idx="2">
                  <c:v>8.0823873706066571</c:v>
                </c:pt>
                <c:pt idx="3">
                  <c:v>46.302923679439793</c:v>
                </c:pt>
                <c:pt idx="4">
                  <c:v>0</c:v>
                </c:pt>
                <c:pt idx="5">
                  <c:v>0.45509357588485327</c:v>
                </c:pt>
                <c:pt idx="6">
                  <c:v>1.8406694748298522</c:v>
                </c:pt>
                <c:pt idx="7">
                  <c:v>1.8406694748298522</c:v>
                </c:pt>
                <c:pt idx="8">
                  <c:v>0</c:v>
                </c:pt>
                <c:pt idx="9">
                  <c:v>7.7346405338120361</c:v>
                </c:pt>
                <c:pt idx="10">
                  <c:v>6.9691837828369907E-2</c:v>
                </c:pt>
                <c:pt idx="11">
                  <c:v>28.785733369639072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10.78108372772213</c:v>
                </c:pt>
                <c:pt idx="1">
                  <c:v>6.2308585059886612</c:v>
                </c:pt>
                <c:pt idx="2">
                  <c:v>26.957179088678345</c:v>
                </c:pt>
                <c:pt idx="3">
                  <c:v>36.781732170574379</c:v>
                </c:pt>
                <c:pt idx="4">
                  <c:v>0</c:v>
                </c:pt>
                <c:pt idx="5">
                  <c:v>0.51505152485299388</c:v>
                </c:pt>
                <c:pt idx="6">
                  <c:v>1.6716937455091527</c:v>
                </c:pt>
                <c:pt idx="7">
                  <c:v>1.6716937455091527</c:v>
                </c:pt>
                <c:pt idx="8">
                  <c:v>0.15945902238245729</c:v>
                </c:pt>
                <c:pt idx="9">
                  <c:v>15.055497137035612</c:v>
                </c:pt>
                <c:pt idx="10">
                  <c:v>0.17575133174711202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-0.82724900000000001</c:v>
                </c:pt>
                <c:pt idx="1">
                  <c:v>-0.89542500000000003</c:v>
                </c:pt>
                <c:pt idx="2">
                  <c:v>-0.69586499999999996</c:v>
                </c:pt>
                <c:pt idx="3">
                  <c:v>-0.70605399999999996</c:v>
                </c:pt>
                <c:pt idx="4">
                  <c:v>-0.66276199999999996</c:v>
                </c:pt>
                <c:pt idx="5">
                  <c:v>-0.710283</c:v>
                </c:pt>
                <c:pt idx="6">
                  <c:v>-0.939218</c:v>
                </c:pt>
                <c:pt idx="7">
                  <c:v>22.073955999999999</c:v>
                </c:pt>
                <c:pt idx="8">
                  <c:v>26.418958</c:v>
                </c:pt>
                <c:pt idx="9">
                  <c:v>1.554179</c:v>
                </c:pt>
                <c:pt idx="10">
                  <c:v>-0.75178999999999996</c:v>
                </c:pt>
                <c:pt idx="11">
                  <c:v>-0.70974400000000004</c:v>
                </c:pt>
                <c:pt idx="12">
                  <c:v>-0.68802799999999997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61.254111000000002</c:v>
                </c:pt>
                <c:pt idx="1">
                  <c:v>30.185099999999998</c:v>
                </c:pt>
                <c:pt idx="2">
                  <c:v>28.870017999999998</c:v>
                </c:pt>
                <c:pt idx="3">
                  <c:v>30.443576</c:v>
                </c:pt>
                <c:pt idx="4">
                  <c:v>28.621776999999998</c:v>
                </c:pt>
                <c:pt idx="5">
                  <c:v>30.374336</c:v>
                </c:pt>
                <c:pt idx="6">
                  <c:v>47.711207999999999</c:v>
                </c:pt>
                <c:pt idx="7">
                  <c:v>41.291938999999999</c:v>
                </c:pt>
                <c:pt idx="8">
                  <c:v>61.203187</c:v>
                </c:pt>
                <c:pt idx="9">
                  <c:v>103.43266399999999</c:v>
                </c:pt>
                <c:pt idx="10">
                  <c:v>120.37340399999999</c:v>
                </c:pt>
                <c:pt idx="11">
                  <c:v>72.807096999999999</c:v>
                </c:pt>
                <c:pt idx="12">
                  <c:v>65.130349999999993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247.112684</c:v>
                </c:pt>
                <c:pt idx="1">
                  <c:v>224.26124200000001</c:v>
                </c:pt>
                <c:pt idx="2">
                  <c:v>233.91494</c:v>
                </c:pt>
                <c:pt idx="3">
                  <c:v>244.02029300000001</c:v>
                </c:pt>
                <c:pt idx="4">
                  <c:v>218.49136100000001</c:v>
                </c:pt>
                <c:pt idx="5">
                  <c:v>213.548517</c:v>
                </c:pt>
                <c:pt idx="6">
                  <c:v>205.68247400000001</c:v>
                </c:pt>
                <c:pt idx="7">
                  <c:v>206.763338</c:v>
                </c:pt>
                <c:pt idx="8">
                  <c:v>212.499032</c:v>
                </c:pt>
                <c:pt idx="9">
                  <c:v>272.94692199999997</c:v>
                </c:pt>
                <c:pt idx="10">
                  <c:v>333.50170400000002</c:v>
                </c:pt>
                <c:pt idx="11">
                  <c:v>245.22935200000001</c:v>
                </c:pt>
                <c:pt idx="12">
                  <c:v>232.50510600000001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1.0359999999999999E-2</c:v>
                </c:pt>
                <c:pt idx="1">
                  <c:v>8.7279999999999996E-3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33.267043999999999</c:v>
                </c:pt>
                <c:pt idx="1">
                  <c:v>25.444734</c:v>
                </c:pt>
                <c:pt idx="2">
                  <c:v>23.146239000000001</c:v>
                </c:pt>
                <c:pt idx="3">
                  <c:v>24.18449</c:v>
                </c:pt>
                <c:pt idx="4">
                  <c:v>30.778489</c:v>
                </c:pt>
                <c:pt idx="5">
                  <c:v>45.320208999999998</c:v>
                </c:pt>
                <c:pt idx="6">
                  <c:v>44.568354999999997</c:v>
                </c:pt>
                <c:pt idx="7">
                  <c:v>58.305483000000002</c:v>
                </c:pt>
                <c:pt idx="8">
                  <c:v>53.291172000000003</c:v>
                </c:pt>
                <c:pt idx="9">
                  <c:v>60.161617</c:v>
                </c:pt>
                <c:pt idx="10">
                  <c:v>55.457568000000002</c:v>
                </c:pt>
                <c:pt idx="11">
                  <c:v>43.998761999999999</c:v>
                </c:pt>
                <c:pt idx="12">
                  <c:v>38.838658000000002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0.14801500000000001</c:v>
                </c:pt>
                <c:pt idx="1">
                  <c:v>0.14354</c:v>
                </c:pt>
                <c:pt idx="2">
                  <c:v>0.12625700000000001</c:v>
                </c:pt>
                <c:pt idx="3">
                  <c:v>0.10423</c:v>
                </c:pt>
                <c:pt idx="4">
                  <c:v>3.9530000000000003E-2</c:v>
                </c:pt>
                <c:pt idx="5">
                  <c:v>4.0002000000000003E-2</c:v>
                </c:pt>
                <c:pt idx="6">
                  <c:v>1.5544000000000001E-2</c:v>
                </c:pt>
                <c:pt idx="7">
                  <c:v>4.1384999999999998E-2</c:v>
                </c:pt>
                <c:pt idx="8">
                  <c:v>7.8099000000000002E-2</c:v>
                </c:pt>
                <c:pt idx="9">
                  <c:v>0.18402499999999999</c:v>
                </c:pt>
                <c:pt idx="10">
                  <c:v>0.28992600000000002</c:v>
                </c:pt>
                <c:pt idx="11">
                  <c:v>0.364813</c:v>
                </c:pt>
                <c:pt idx="12">
                  <c:v>0.34994999999999998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1.6210690000000001</c:v>
                </c:pt>
                <c:pt idx="1">
                  <c:v>1.996553</c:v>
                </c:pt>
                <c:pt idx="2">
                  <c:v>3.1565249999999998</c:v>
                </c:pt>
                <c:pt idx="3">
                  <c:v>3.9370180000000001</c:v>
                </c:pt>
                <c:pt idx="4">
                  <c:v>3.7397490000000002</c:v>
                </c:pt>
                <c:pt idx="5">
                  <c:v>3.4851179999999999</c:v>
                </c:pt>
                <c:pt idx="6">
                  <c:v>1.9095409999999999</c:v>
                </c:pt>
                <c:pt idx="7">
                  <c:v>3.5397620000000001</c:v>
                </c:pt>
                <c:pt idx="8">
                  <c:v>3.4609559999999999</c:v>
                </c:pt>
                <c:pt idx="9">
                  <c:v>3.2774670000000001</c:v>
                </c:pt>
                <c:pt idx="10">
                  <c:v>3.1243509999999999</c:v>
                </c:pt>
                <c:pt idx="11">
                  <c:v>2.778902</c:v>
                </c:pt>
                <c:pt idx="12">
                  <c:v>2.2852030000000001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10.861402</c:v>
                </c:pt>
                <c:pt idx="1">
                  <c:v>10.810193999999999</c:v>
                </c:pt>
                <c:pt idx="2">
                  <c:v>8.9918355000000005</c:v>
                </c:pt>
                <c:pt idx="3">
                  <c:v>10.485035</c:v>
                </c:pt>
                <c:pt idx="4">
                  <c:v>5.6085469999999997</c:v>
                </c:pt>
                <c:pt idx="5">
                  <c:v>12.829401000000001</c:v>
                </c:pt>
                <c:pt idx="6">
                  <c:v>11.323399</c:v>
                </c:pt>
                <c:pt idx="7">
                  <c:v>12.2750895</c:v>
                </c:pt>
                <c:pt idx="8">
                  <c:v>16.584269500000001</c:v>
                </c:pt>
                <c:pt idx="9">
                  <c:v>15.726691000000001</c:v>
                </c:pt>
                <c:pt idx="10">
                  <c:v>15.578734000000001</c:v>
                </c:pt>
                <c:pt idx="11">
                  <c:v>14.1961285</c:v>
                </c:pt>
                <c:pt idx="12">
                  <c:v>9.2427220000000005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10.861402</c:v>
                </c:pt>
                <c:pt idx="1">
                  <c:v>10.810193999999999</c:v>
                </c:pt>
                <c:pt idx="2">
                  <c:v>8.9918355000000005</c:v>
                </c:pt>
                <c:pt idx="3">
                  <c:v>10.485035</c:v>
                </c:pt>
                <c:pt idx="4">
                  <c:v>5.6085469999999997</c:v>
                </c:pt>
                <c:pt idx="5">
                  <c:v>12.829401000000001</c:v>
                </c:pt>
                <c:pt idx="6">
                  <c:v>11.323399</c:v>
                </c:pt>
                <c:pt idx="7">
                  <c:v>12.2750895</c:v>
                </c:pt>
                <c:pt idx="8">
                  <c:v>16.584269500000001</c:v>
                </c:pt>
                <c:pt idx="9">
                  <c:v>15.726691000000001</c:v>
                </c:pt>
                <c:pt idx="10">
                  <c:v>15.578734000000001</c:v>
                </c:pt>
                <c:pt idx="11">
                  <c:v>14.1961285</c:v>
                </c:pt>
                <c:pt idx="12">
                  <c:v>9.2427220000000005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131.44748999999999</c:v>
                </c:pt>
                <c:pt idx="1">
                  <c:v>70.735690000000005</c:v>
                </c:pt>
                <c:pt idx="2">
                  <c:v>112.440268</c:v>
                </c:pt>
                <c:pt idx="3">
                  <c:v>122.760274</c:v>
                </c:pt>
                <c:pt idx="4">
                  <c:v>114.74408200000001</c:v>
                </c:pt>
                <c:pt idx="5">
                  <c:v>110.667727</c:v>
                </c:pt>
                <c:pt idx="6">
                  <c:v>109.36235000000001</c:v>
                </c:pt>
                <c:pt idx="7">
                  <c:v>117.764884</c:v>
                </c:pt>
                <c:pt idx="8">
                  <c:v>145.36358899999999</c:v>
                </c:pt>
                <c:pt idx="9">
                  <c:v>208.454387</c:v>
                </c:pt>
                <c:pt idx="10">
                  <c:v>187.956546</c:v>
                </c:pt>
                <c:pt idx="11">
                  <c:v>162.00915900000001</c:v>
                </c:pt>
                <c:pt idx="12">
                  <c:v>144.54443599999999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14.597823678649203</c:v>
                </c:pt>
                <c:pt idx="1">
                  <c:v>15.588993275072946</c:v>
                </c:pt>
                <c:pt idx="2">
                  <c:v>14.448145394683065</c:v>
                </c:pt>
                <c:pt idx="3">
                  <c:v>25.906317388858625</c:v>
                </c:pt>
                <c:pt idx="4">
                  <c:v>1.1435420895012705</c:v>
                </c:pt>
                <c:pt idx="5">
                  <c:v>4.5502198325704998E-2</c:v>
                </c:pt>
                <c:pt idx="6">
                  <c:v>0.33887163489932937</c:v>
                </c:pt>
                <c:pt idx="7">
                  <c:v>19.394114610060029</c:v>
                </c:pt>
                <c:pt idx="8">
                  <c:v>8.3140881860353897</c:v>
                </c:pt>
                <c:pt idx="9">
                  <c:v>0.22260154391443576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-3.980393700787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25365853658536586"/>
                  <c:y val="1.253319438011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6.6666538633890216E-2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9837385570706104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20.475683571577417</c:v>
                </c:pt>
                <c:pt idx="1">
                  <c:v>2.0895029516955308</c:v>
                </c:pt>
                <c:pt idx="2">
                  <c:v>11.160480604718865</c:v>
                </c:pt>
                <c:pt idx="3">
                  <c:v>45.981321507511666</c:v>
                </c:pt>
                <c:pt idx="4">
                  <c:v>0</c:v>
                </c:pt>
                <c:pt idx="5">
                  <c:v>3.8759551044055256E-2</c:v>
                </c:pt>
                <c:pt idx="6">
                  <c:v>0.23888370529386083</c:v>
                </c:pt>
                <c:pt idx="7">
                  <c:v>15.160750735749728</c:v>
                </c:pt>
                <c:pt idx="8">
                  <c:v>4.711392628176843</c:v>
                </c:pt>
                <c:pt idx="9">
                  <c:v>0.14322474423203388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0.30332900000000002</c:v>
                </c:pt>
                <c:pt idx="1">
                  <c:v>0.28045300000000001</c:v>
                </c:pt>
                <c:pt idx="2">
                  <c:v>0.30560300000000001</c:v>
                </c:pt>
                <c:pt idx="3">
                  <c:v>0.29624200000000001</c:v>
                </c:pt>
                <c:pt idx="4">
                  <c:v>0.28508299999999998</c:v>
                </c:pt>
                <c:pt idx="5">
                  <c:v>0.272924</c:v>
                </c:pt>
                <c:pt idx="6">
                  <c:v>0.258407</c:v>
                </c:pt>
                <c:pt idx="7">
                  <c:v>0.28213199999999999</c:v>
                </c:pt>
                <c:pt idx="8">
                  <c:v>0.27541500000000002</c:v>
                </c:pt>
                <c:pt idx="9">
                  <c:v>0.290603</c:v>
                </c:pt>
                <c:pt idx="10">
                  <c:v>0.28181699999999998</c:v>
                </c:pt>
                <c:pt idx="11">
                  <c:v>0.27621200000000001</c:v>
                </c:pt>
                <c:pt idx="12">
                  <c:v>0.29845300000000002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329.83554600000002</c:v>
                </c:pt>
                <c:pt idx="1">
                  <c:v>283.460553</c:v>
                </c:pt>
                <c:pt idx="2">
                  <c:v>293.93341900000001</c:v>
                </c:pt>
                <c:pt idx="3">
                  <c:v>313.17357400000003</c:v>
                </c:pt>
                <c:pt idx="4">
                  <c:v>271.07811399999997</c:v>
                </c:pt>
                <c:pt idx="5">
                  <c:v>294.881663</c:v>
                </c:pt>
                <c:pt idx="6">
                  <c:v>257.29920000000004</c:v>
                </c:pt>
                <c:pt idx="7">
                  <c:v>262.610321</c:v>
                </c:pt>
                <c:pt idx="8">
                  <c:v>252.95584600000001</c:v>
                </c:pt>
                <c:pt idx="9">
                  <c:v>278.93440799999996</c:v>
                </c:pt>
                <c:pt idx="10">
                  <c:v>266.24014199999999</c:v>
                </c:pt>
                <c:pt idx="11">
                  <c:v>252.68561</c:v>
                </c:pt>
                <c:pt idx="12">
                  <c:v>259.69151499999998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385.37423100000001</c:v>
                </c:pt>
                <c:pt idx="1">
                  <c:v>320.60776499999997</c:v>
                </c:pt>
                <c:pt idx="2">
                  <c:v>343.70541600000001</c:v>
                </c:pt>
                <c:pt idx="3">
                  <c:v>348.60822999999999</c:v>
                </c:pt>
                <c:pt idx="4">
                  <c:v>282.95672999999999</c:v>
                </c:pt>
                <c:pt idx="5">
                  <c:v>305.966994</c:v>
                </c:pt>
                <c:pt idx="6">
                  <c:v>315.19474500000001</c:v>
                </c:pt>
                <c:pt idx="7">
                  <c:v>259.74817300000001</c:v>
                </c:pt>
                <c:pt idx="8">
                  <c:v>269.75380799999999</c:v>
                </c:pt>
                <c:pt idx="9">
                  <c:v>264.109264</c:v>
                </c:pt>
                <c:pt idx="10">
                  <c:v>258.28017799999998</c:v>
                </c:pt>
                <c:pt idx="11">
                  <c:v>294.563964</c:v>
                </c:pt>
                <c:pt idx="12">
                  <c:v>354.061463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0.44324000000000002</c:v>
                </c:pt>
                <c:pt idx="1">
                  <c:v>1.0899650000000001</c:v>
                </c:pt>
                <c:pt idx="2">
                  <c:v>0.66913</c:v>
                </c:pt>
                <c:pt idx="3">
                  <c:v>0.66808100000000004</c:v>
                </c:pt>
                <c:pt idx="4">
                  <c:v>1.414679</c:v>
                </c:pt>
                <c:pt idx="5">
                  <c:v>1.5891550000000001</c:v>
                </c:pt>
                <c:pt idx="6">
                  <c:v>1.2945469999999999</c:v>
                </c:pt>
                <c:pt idx="7">
                  <c:v>2.2523740000000001</c:v>
                </c:pt>
                <c:pt idx="8">
                  <c:v>2.6292490000000002</c:v>
                </c:pt>
                <c:pt idx="9">
                  <c:v>3.5113029999999998</c:v>
                </c:pt>
                <c:pt idx="10">
                  <c:v>3.975784</c:v>
                </c:pt>
                <c:pt idx="11">
                  <c:v>2.2682389999999999</c:v>
                </c:pt>
                <c:pt idx="12">
                  <c:v>1.839432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57.760657000000002</c:v>
                </c:pt>
                <c:pt idx="1">
                  <c:v>100.369928</c:v>
                </c:pt>
                <c:pt idx="2">
                  <c:v>71.082879000000005</c:v>
                </c:pt>
                <c:pt idx="3">
                  <c:v>53.195481000000001</c:v>
                </c:pt>
                <c:pt idx="4">
                  <c:v>108.751255</c:v>
                </c:pt>
                <c:pt idx="5">
                  <c:v>89.285196999999997</c:v>
                </c:pt>
                <c:pt idx="6">
                  <c:v>94.671989999999994</c:v>
                </c:pt>
                <c:pt idx="7">
                  <c:v>147.019094</c:v>
                </c:pt>
                <c:pt idx="8">
                  <c:v>129.86778200000001</c:v>
                </c:pt>
                <c:pt idx="9">
                  <c:v>169.43657200000001</c:v>
                </c:pt>
                <c:pt idx="10">
                  <c:v>210.63246799999999</c:v>
                </c:pt>
                <c:pt idx="11">
                  <c:v>148.53897900000001</c:v>
                </c:pt>
                <c:pt idx="12">
                  <c:v>116.739524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30.035509999999999</c:v>
                </c:pt>
                <c:pt idx="1">
                  <c:v>25.317008999999999</c:v>
                </c:pt>
                <c:pt idx="2">
                  <c:v>23.810552999999999</c:v>
                </c:pt>
                <c:pt idx="3">
                  <c:v>24.702621000000001</c:v>
                </c:pt>
                <c:pt idx="4">
                  <c:v>26.401495000000001</c:v>
                </c:pt>
                <c:pt idx="5">
                  <c:v>31.966273999999999</c:v>
                </c:pt>
                <c:pt idx="6">
                  <c:v>35.953691999999997</c:v>
                </c:pt>
                <c:pt idx="7">
                  <c:v>35.545333999999997</c:v>
                </c:pt>
                <c:pt idx="8">
                  <c:v>36.232920999999997</c:v>
                </c:pt>
                <c:pt idx="9">
                  <c:v>42.799511000000003</c:v>
                </c:pt>
                <c:pt idx="10">
                  <c:v>40.863112000000001</c:v>
                </c:pt>
                <c:pt idx="11">
                  <c:v>37.483722</c:v>
                </c:pt>
                <c:pt idx="12">
                  <c:v>36.278264999999998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oct.-23</c:v>
                </c:pt>
                <c:pt idx="1">
                  <c:v>nov.-23</c:v>
                </c:pt>
                <c:pt idx="2">
                  <c:v>dic.-23</c:v>
                </c:pt>
                <c:pt idx="3">
                  <c:v>ene.-24</c:v>
                </c:pt>
                <c:pt idx="4">
                  <c:v>feb.-24</c:v>
                </c:pt>
                <c:pt idx="5">
                  <c:v>mar.-24</c:v>
                </c:pt>
                <c:pt idx="6">
                  <c:v>abr.-24</c:v>
                </c:pt>
                <c:pt idx="7">
                  <c:v>may.-24</c:v>
                </c:pt>
                <c:pt idx="8">
                  <c:v>jun.-24</c:v>
                </c:pt>
                <c:pt idx="9">
                  <c:v>jul.-24</c:v>
                </c:pt>
                <c:pt idx="10">
                  <c:v>ago.-24</c:v>
                </c:pt>
                <c:pt idx="11">
                  <c:v>sep.-24</c:v>
                </c:pt>
                <c:pt idx="12">
                  <c:v>oct.-24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0.524733</c:v>
                </c:pt>
                <c:pt idx="1">
                  <c:v>0.42454199999999997</c:v>
                </c:pt>
                <c:pt idx="2">
                  <c:v>0.44537900000000002</c:v>
                </c:pt>
                <c:pt idx="3">
                  <c:v>0.50013399999999997</c:v>
                </c:pt>
                <c:pt idx="4">
                  <c:v>0.49944300000000003</c:v>
                </c:pt>
                <c:pt idx="5">
                  <c:v>0.57839200000000002</c:v>
                </c:pt>
                <c:pt idx="6">
                  <c:v>0.26424700000000001</c:v>
                </c:pt>
                <c:pt idx="7">
                  <c:v>0.430983</c:v>
                </c:pt>
                <c:pt idx="8">
                  <c:v>0.49796200000000002</c:v>
                </c:pt>
                <c:pt idx="9">
                  <c:v>0.62341999999999997</c:v>
                </c:pt>
                <c:pt idx="10">
                  <c:v>1.3289139999999999</c:v>
                </c:pt>
                <c:pt idx="11">
                  <c:v>1.1101749999999999</c:v>
                </c:pt>
                <c:pt idx="12">
                  <c:v>1.1028469999999999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Octubre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Octubre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Octubre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501.45111900000001</v>
      </c>
      <c r="G9" s="147">
        <f>Dat_01!T24*100</f>
        <v>1.14870768</v>
      </c>
      <c r="H9" s="75">
        <f>Dat_01!U24/1000</f>
        <v>5190.734692</v>
      </c>
      <c r="I9" s="147">
        <f>Dat_01!W24*100</f>
        <v>-0.39859281999999996</v>
      </c>
      <c r="J9" s="75">
        <f>Dat_01!X24/1000</f>
        <v>5983.1772949999995</v>
      </c>
      <c r="K9" s="147">
        <f>Dat_01!Y24*100</f>
        <v>0.17117394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0.54700000000000004</v>
      </c>
      <c r="H12" s="94"/>
      <c r="I12" s="94">
        <f>Dat_01!H152*100</f>
        <v>-1.2E-2</v>
      </c>
      <c r="J12" s="94"/>
      <c r="K12" s="94">
        <f>Dat_01!L152*100</f>
        <v>-9.2999999999999999E-2</v>
      </c>
    </row>
    <row r="13" spans="3:12">
      <c r="E13" s="77" t="s">
        <v>42</v>
      </c>
      <c r="F13" s="76"/>
      <c r="G13" s="94">
        <f>Dat_01!E152*100</f>
        <v>-1.6230000000000002</v>
      </c>
      <c r="H13" s="94"/>
      <c r="I13" s="94">
        <f>Dat_01!I152*100</f>
        <v>-1.5779999999999998</v>
      </c>
      <c r="J13" s="94"/>
      <c r="K13" s="94">
        <f>Dat_01!M152*100</f>
        <v>-1.43</v>
      </c>
    </row>
    <row r="14" spans="3:12">
      <c r="E14" s="78" t="s">
        <v>43</v>
      </c>
      <c r="F14" s="79"/>
      <c r="G14" s="95">
        <f>Dat_01!F152*100</f>
        <v>2.2250000000000001</v>
      </c>
      <c r="H14" s="95"/>
      <c r="I14" s="95">
        <f>Dat_01!J152*100</f>
        <v>1.1910000000000001</v>
      </c>
      <c r="J14" s="95"/>
      <c r="K14" s="95">
        <f>Dat_01!N152*100</f>
        <v>1.694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Octubre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Octubre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770.01149899999996</v>
      </c>
      <c r="G9" s="147">
        <f>Dat_01!AB24*100</f>
        <v>-4.2604396900000001</v>
      </c>
      <c r="H9" s="75">
        <f>Dat_01!AC24/1000</f>
        <v>7310.3558789999997</v>
      </c>
      <c r="I9" s="147">
        <f>Dat_01!AE24*100</f>
        <v>0.28362429</v>
      </c>
      <c r="J9" s="75">
        <f>Dat_01!AF24/1000</f>
        <v>8775.8584729999984</v>
      </c>
      <c r="K9" s="147">
        <f>Dat_01!AG24*100</f>
        <v>0.66429410999999994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0.77400000000000002</v>
      </c>
      <c r="H12" s="94"/>
      <c r="I12" s="94">
        <f>Dat_01!H158*100</f>
        <v>5.5999999999999994E-2</v>
      </c>
      <c r="J12" s="94"/>
      <c r="K12" s="94">
        <f>Dat_01!L158*100</f>
        <v>-1E-3</v>
      </c>
    </row>
    <row r="13" spans="3:12">
      <c r="E13" s="77" t="s">
        <v>42</v>
      </c>
      <c r="F13" s="76"/>
      <c r="G13" s="94">
        <f>Dat_01!E158*100</f>
        <v>-1.8049999999999999</v>
      </c>
      <c r="H13" s="94"/>
      <c r="I13" s="94">
        <f>Dat_01!I158*100</f>
        <v>-0.48599999999999999</v>
      </c>
      <c r="J13" s="94"/>
      <c r="K13" s="94">
        <f>Dat_01!M158*100</f>
        <v>-0.39600000000000002</v>
      </c>
    </row>
    <row r="14" spans="3:12">
      <c r="E14" s="78" t="s">
        <v>43</v>
      </c>
      <c r="F14" s="79"/>
      <c r="G14" s="95">
        <f>Dat_01!F158*100</f>
        <v>-3.2290000000000001</v>
      </c>
      <c r="H14" s="95"/>
      <c r="I14" s="95">
        <f>Dat_01!J158*100</f>
        <v>0.71399999999999997</v>
      </c>
      <c r="J14" s="95"/>
      <c r="K14" s="95">
        <f>Dat_01!N158*100</f>
        <v>1.0609999999999999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134</v>
      </c>
    </row>
    <row r="2" spans="1:2">
      <c r="A2" t="s">
        <v>129</v>
      </c>
    </row>
    <row r="3" spans="1:2">
      <c r="A3" t="s">
        <v>130</v>
      </c>
    </row>
    <row r="4" spans="1:2">
      <c r="A4" t="s">
        <v>132</v>
      </c>
    </row>
    <row r="5" spans="1:2">
      <c r="A5" t="s">
        <v>133</v>
      </c>
    </row>
    <row r="6" spans="1:2">
      <c r="A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Octubre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0.29845299999999997</v>
      </c>
      <c r="I9" s="14">
        <f>IF(Dat_01!AB8*100=-100,"-",Dat_01!AB8*100)</f>
        <v>-1.60749549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1.839432</v>
      </c>
      <c r="I10" s="14">
        <f>Dat_01!AB15*100</f>
        <v>314.99684144000003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116.739524</v>
      </c>
      <c r="I11" s="14">
        <f>Dat_01!AB16*100</f>
        <v>102.10906534999999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38.838658000000002</v>
      </c>
      <c r="G12" s="14">
        <f>Dat_01!T17*100</f>
        <v>16.748148709999999</v>
      </c>
      <c r="H12" s="138">
        <f>Dat_01!Z17/1000</f>
        <v>36.278264999999998</v>
      </c>
      <c r="I12" s="14">
        <f>Dat_01!AB17*100</f>
        <v>20.784581320000001</v>
      </c>
      <c r="J12" s="138">
        <f>Dat_01!B17</f>
        <v>0</v>
      </c>
      <c r="K12" s="14" t="str">
        <f>IF(Dat_01!D17=-100%,"-",Dat_01!D17*100)</f>
        <v>-</v>
      </c>
      <c r="L12" s="138">
        <f>Dat_01!J17/1000</f>
        <v>4.6550000000000003E-3</v>
      </c>
      <c r="M12" s="14">
        <f>IF(Dat_01!L17*100=-100,"-",Dat_01!L17*100)</f>
        <v>-17.244444440000002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0.34994999999999998</v>
      </c>
      <c r="G13" s="14">
        <f>IF(Dat_01!T18=-100%,"-",Dat_01!T18*100)</f>
        <v>136.42874033000001</v>
      </c>
      <c r="H13" s="138">
        <f>Dat_01!Z18/1000</f>
        <v>1.1028469999999999</v>
      </c>
      <c r="I13" s="14">
        <f>IF(Dat_01!AB18*100=-100,"-",Dat_01!AB18*100)</f>
        <v>110.17298321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9.2427220000000005</v>
      </c>
      <c r="G14" s="14">
        <f>Dat_01!T21*100</f>
        <v>-14.903048429999998</v>
      </c>
      <c r="H14" s="138" t="s">
        <v>3</v>
      </c>
      <c r="I14" s="14" t="s">
        <v>3</v>
      </c>
      <c r="J14" s="138" t="s">
        <v>3</v>
      </c>
      <c r="K14" s="14" t="s">
        <v>3</v>
      </c>
      <c r="L14" s="138">
        <f>Dat_01!J21/1000</f>
        <v>0.52925599999999995</v>
      </c>
      <c r="M14" s="14">
        <f>Dat_01!L21*100</f>
        <v>89.017637279999988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48.431330000000003</v>
      </c>
      <c r="G15" s="156">
        <f>((SUM(Dat_01!R8,Dat_01!R15:R18,Dat_01!R20)/SUM(Dat_01!S8,Dat_01!S15:S18,Dat_01!S20))-1)*100</f>
        <v>9.3583348418708958</v>
      </c>
      <c r="H15" s="155">
        <f>SUM(H9:H14)</f>
        <v>156.258521</v>
      </c>
      <c r="I15" s="156">
        <f>((SUM(Dat_01!Z8,Dat_01!Z15:Z18,Dat_01!Z20)/SUM(Dat_01!AA8,Dat_01!AA15:AA18,Dat_01!AA20))-1)*100</f>
        <v>75.438375822714818</v>
      </c>
      <c r="J15" s="155">
        <f>SUM(J9:J14)</f>
        <v>0</v>
      </c>
      <c r="K15" s="156" t="str">
        <f>IF(((SUM(Dat_01!B8,Dat_01!B15:B18,Dat_01!B20)/SUM(Dat_01!C8,Dat_01!C5:IC18,Dat_01!C20))-1)*100=-100,"-",((SUM(Dat_01!B8,Dat_01!B15:B18,Dat_01!B20)/SUM(Dat_01!C8,Dat_01!C5:IC18,Dat_01!C20))-1)*100)</f>
        <v>-</v>
      </c>
      <c r="L15" s="155">
        <f>SUM(L9:L14)</f>
        <v>0.53391099999999991</v>
      </c>
      <c r="M15" s="156">
        <f>((SUM(Dat_01!J8,Dat_01!J15:J18,Dat_01!J20)/SUM(Dat_01!K8,Dat_01!K15:K18,Dat_01!K20))-1)*100</f>
        <v>86.924974223510603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-0.68802799999999997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24.545518999999999</v>
      </c>
      <c r="G17" s="20">
        <f>((SUM(Dat_01!R10,Dat_01!R14)/SUM(Dat_01!S10,Dat_01!S14))-1)*100</f>
        <v>44.556892874034745</v>
      </c>
      <c r="H17" s="139">
        <f>SUM(Dat_01!Z10,Dat_01!Z14)/1000</f>
        <v>157.66511799999998</v>
      </c>
      <c r="I17" s="20">
        <f>((SUM(Dat_01!Z10,Dat_01!Z14)/SUM(Dat_01!AA10,Dat_01!AA14))-1)*100</f>
        <v>-12.139845242754976</v>
      </c>
      <c r="J17" s="139">
        <f>Dat_01!B10/1000</f>
        <v>15.959118</v>
      </c>
      <c r="K17" s="20">
        <f>Dat_01!D10*100</f>
        <v>1.8405311200000001</v>
      </c>
      <c r="L17" s="139">
        <f>Dat_01!J10/1000</f>
        <v>15.638532999999999</v>
      </c>
      <c r="M17" s="20">
        <f>Dat_01!L10*100</f>
        <v>-3.8062942099999999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40.584831000000001</v>
      </c>
      <c r="G18" s="20">
        <f>Dat_01!T11*100</f>
        <v>-8.3331613000000004</v>
      </c>
      <c r="H18" s="139">
        <f>Dat_01!Z11/1000</f>
        <v>16.089413</v>
      </c>
      <c r="I18" s="20">
        <f>Dat_01!AB11*100</f>
        <v>-47.604741019999999</v>
      </c>
      <c r="J18" s="139">
        <f>Dat_01!B11/1000</f>
        <v>2.1739000000000001E-2</v>
      </c>
      <c r="K18" s="20">
        <f>IF(Dat_01!D11=-100%,"-",Dat_01!D11*100)</f>
        <v>1012.5383828</v>
      </c>
      <c r="L18" s="139">
        <f>Dat_01!J11/1000</f>
        <v>0</v>
      </c>
      <c r="M18" s="20" t="str">
        <f>IF(Dat_01!L11*100=-100,"-",Dat_01!L11*100)</f>
        <v>-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85.936983999999995</v>
      </c>
      <c r="I19" s="20">
        <f>Dat_01!AB12*100</f>
        <v>-28.192985590000003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65.130349999999993</v>
      </c>
      <c r="G20" s="14">
        <f>((SUM(Dat_01!R10:R12,Dat_01!R14)/SUM(Dat_01!S10:S12,Dat_01!S14))-1)*100</f>
        <v>6.3281287357186633</v>
      </c>
      <c r="H20" s="138">
        <f>SUM(H17:H19)</f>
        <v>259.69151499999998</v>
      </c>
      <c r="I20" s="14">
        <f>(H20/(H17/(I17/100+1)+H18/(I18/100+1)+H19/(I19/100+1))-1)*100</f>
        <v>-21.266364965722538</v>
      </c>
      <c r="J20" s="138">
        <f>SUM(J17:J19)</f>
        <v>15.980857</v>
      </c>
      <c r="K20" s="14">
        <f>((SUM(Dat_01!B10:B12)/SUM(Dat_01!C10:C12))-1)*100</f>
        <v>1.9665406892313442</v>
      </c>
      <c r="L20" s="138">
        <f>SUM(L17:L19)</f>
        <v>15.638532999999999</v>
      </c>
      <c r="M20" s="14">
        <f>((SUM(Dat_01!J10:J12)/SUM(Dat_01!K10:K12))-1)*100</f>
        <v>-3.8189488786660508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232.50510600000001</v>
      </c>
      <c r="G21" s="14">
        <f>Dat_01!T13*100</f>
        <v>-5.9113023899999995</v>
      </c>
      <c r="H21" s="138">
        <f>Dat_01!Z13/1000</f>
        <v>354.061463</v>
      </c>
      <c r="I21" s="14">
        <f>Dat_01!AB13*100</f>
        <v>-8.12528848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2.2852030000000001</v>
      </c>
      <c r="G22" s="14">
        <f>Dat_01!T19*100</f>
        <v>40.96889152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9.2427220000000005</v>
      </c>
      <c r="G23" s="14">
        <f>Dat_01!T20*100</f>
        <v>-14.903048429999998</v>
      </c>
      <c r="H23" s="138" t="s">
        <v>3</v>
      </c>
      <c r="I23" s="14" t="s">
        <v>3</v>
      </c>
      <c r="J23" s="138" t="s">
        <v>3</v>
      </c>
      <c r="K23" s="14" t="s">
        <v>3</v>
      </c>
      <c r="L23" s="138">
        <f>Dat_01!J20/1000</f>
        <v>0.52925599999999995</v>
      </c>
      <c r="M23" s="14">
        <f>Dat_01!L20*100</f>
        <v>89.017637279999988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308.47535300000004</v>
      </c>
      <c r="G24" s="156">
        <f>((SUM(Dat_01!R9:R14,Dat_01!R19,Dat_01!R21)/SUM(Dat_01!S9:S14,Dat_01!S19,Dat_01!S21))-1)*100</f>
        <v>-3.6080842525281542</v>
      </c>
      <c r="H24" s="140">
        <f>SUM(H16,H20:H23)</f>
        <v>613.75297799999998</v>
      </c>
      <c r="I24" s="156">
        <f>((SUM(Dat_01!Z9:Z14,Dat_01!Z19,Dat_01!Z21)/SUM(Dat_01!AA9:AA14,Dat_01!AA19,Dat_01!AA21))-1)*100</f>
        <v>-14.185600122186248</v>
      </c>
      <c r="J24" s="140">
        <f>SUM(J16,J20:J23)</f>
        <v>15.980857</v>
      </c>
      <c r="K24" s="156">
        <f>((SUM(Dat_01!B9:B14,Dat_01!B19,Dat_01!B21)/SUM(Dat_01!C9:C14,Dat_01!C19,Dat_01!C21))-1)*100</f>
        <v>1.9665406892313442</v>
      </c>
      <c r="L24" s="140">
        <f>SUM(L16,L20:L23)</f>
        <v>16.167788999999999</v>
      </c>
      <c r="M24" s="156">
        <f>((SUM(Dat_01!J9:J14,Dat_01!J19,Dat_01!J21)/SUM(Dat_01!K9:K14,Dat_01!K19,Dat_01!K21))-1)*100</f>
        <v>-2.2472807862279676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144.54443599999999</v>
      </c>
      <c r="G25" s="11">
        <f>Dat_01!T23*100</f>
        <v>9.96363339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501.45111900000001</v>
      </c>
      <c r="G26" s="8">
        <f>Dat_01!T24*100</f>
        <v>1.14870768</v>
      </c>
      <c r="H26" s="142">
        <f>Dat_01!Z24/1000</f>
        <v>770.01149899999996</v>
      </c>
      <c r="I26" s="8">
        <f>Dat_01!AB24*100</f>
        <v>-4.2604396900000001</v>
      </c>
      <c r="J26" s="142">
        <f>Dat_01!B24/1000</f>
        <v>15.980857</v>
      </c>
      <c r="K26" s="8">
        <f>Dat_01!D24*100</f>
        <v>1.9662349100000001</v>
      </c>
      <c r="L26" s="142">
        <f>Dat_01!J24/1000</f>
        <v>16.701700000000002</v>
      </c>
      <c r="M26" s="8">
        <f>Dat_01!L24*100</f>
        <v>-0.73346343000000003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 K15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E42" sqref="E42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Octubre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Octubre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L26" sqref="L26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Octubre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Octubre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33" zoomScale="80" zoomScaleNormal="80" workbookViewId="0">
      <selection activeCell="D68" sqref="D68:D78"/>
    </sheetView>
  </sheetViews>
  <sheetFormatPr baseColWidth="10" defaultColWidth="11.42578125" defaultRowHeight="12"/>
  <cols>
    <col min="1" max="1" width="11" style="102" bestFit="1" customWidth="1"/>
    <col min="2" max="2" width="17.7109375" style="102" bestFit="1" customWidth="1"/>
    <col min="3" max="3" width="31.7109375" style="102" bestFit="1" customWidth="1"/>
    <col min="4" max="4" width="27" style="102" bestFit="1" customWidth="1"/>
    <col min="5" max="5" width="27.85546875" style="102" bestFit="1" customWidth="1"/>
    <col min="6" max="6" width="42.85546875" style="102" bestFit="1" customWidth="1"/>
    <col min="7" max="7" width="31.5703125" style="102" bestFit="1" customWidth="1"/>
    <col min="8" max="8" width="26.5703125" style="102" bestFit="1" customWidth="1"/>
    <col min="9" max="9" width="27.42578125" style="102" bestFit="1" customWidth="1"/>
    <col min="10" max="10" width="36.7109375" style="102" bestFit="1" customWidth="1"/>
    <col min="11" max="11" width="37.42578125" style="102" bestFit="1" customWidth="1"/>
    <col min="12" max="12" width="32.42578125" style="102" bestFit="1" customWidth="1"/>
    <col min="13" max="13" width="33.42578125" style="102" bestFit="1" customWidth="1"/>
    <col min="14" max="14" width="42.71093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127</v>
      </c>
      <c r="B2" s="133" t="s">
        <v>128</v>
      </c>
    </row>
    <row r="4" spans="1:33" ht="15">
      <c r="A4" s="134" t="s">
        <v>67</v>
      </c>
      <c r="B4" s="199" t="s">
        <v>127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298.45299999999997</v>
      </c>
      <c r="AA8" s="169">
        <v>303.32900000000001</v>
      </c>
      <c r="AB8" s="170">
        <v>-1.6074954900000001E-2</v>
      </c>
      <c r="AC8" s="169">
        <v>2817.288</v>
      </c>
      <c r="AD8" s="169">
        <v>2860.8409999999999</v>
      </c>
      <c r="AE8" s="170">
        <v>-1.5223845E-2</v>
      </c>
      <c r="AF8" s="169">
        <v>3403.3440000000001</v>
      </c>
      <c r="AG8" s="170">
        <v>-6.8729815999999996E-3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-688.02800000000002</v>
      </c>
      <c r="S9" s="169">
        <v>-827.24900000000002</v>
      </c>
      <c r="T9" s="170">
        <v>-0.16829394780000001</v>
      </c>
      <c r="U9" s="169">
        <v>44879.214</v>
      </c>
      <c r="V9" s="169">
        <v>62083.322</v>
      </c>
      <c r="W9" s="170">
        <v>-0.27711319960000003</v>
      </c>
      <c r="X9" s="169">
        <v>43287.923999999999</v>
      </c>
      <c r="Y9" s="170">
        <v>-0.2888277749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15959.118</v>
      </c>
      <c r="C10" s="169">
        <v>15670.694</v>
      </c>
      <c r="D10" s="170">
        <v>1.84053112E-2</v>
      </c>
      <c r="E10" s="169">
        <v>156662.52600000001</v>
      </c>
      <c r="F10" s="169">
        <v>155915.83199999999</v>
      </c>
      <c r="G10" s="170">
        <v>4.7890839000000003E-3</v>
      </c>
      <c r="H10" s="169">
        <v>186723.10200000001</v>
      </c>
      <c r="I10" s="170">
        <v>1.3341246999999999E-3</v>
      </c>
      <c r="J10" s="169">
        <v>15638.532999999999</v>
      </c>
      <c r="K10" s="169">
        <v>16257.334999999999</v>
      </c>
      <c r="L10" s="170">
        <v>-3.8062942099999997E-2</v>
      </c>
      <c r="M10" s="169">
        <v>160817.72399999999</v>
      </c>
      <c r="N10" s="169">
        <v>161721.13800000001</v>
      </c>
      <c r="O10" s="170">
        <v>-5.5862456000000003E-3</v>
      </c>
      <c r="P10" s="169">
        <v>190196.53400000001</v>
      </c>
      <c r="Q10" s="170">
        <v>1.7427376E-3</v>
      </c>
      <c r="R10" s="169">
        <v>24545.519</v>
      </c>
      <c r="S10" s="169">
        <v>16979.832999999999</v>
      </c>
      <c r="T10" s="170">
        <v>0.44556892869999998</v>
      </c>
      <c r="U10" s="169">
        <v>238549.193</v>
      </c>
      <c r="V10" s="169">
        <v>239147.93700000001</v>
      </c>
      <c r="W10" s="170">
        <v>-2.5036553000000001E-3</v>
      </c>
      <c r="X10" s="169">
        <v>250812.22200000001</v>
      </c>
      <c r="Y10" s="170">
        <v>6.8581540000000002E-4</v>
      </c>
      <c r="Z10" s="169">
        <v>157665.11799999999</v>
      </c>
      <c r="AA10" s="169">
        <v>179450.08</v>
      </c>
      <c r="AB10" s="170">
        <v>-0.1213984524</v>
      </c>
      <c r="AC10" s="169">
        <v>1523203.504</v>
      </c>
      <c r="AD10" s="169">
        <v>1543727.07</v>
      </c>
      <c r="AE10" s="170">
        <v>-1.3294815099999999E-2</v>
      </c>
      <c r="AF10" s="169">
        <v>1862451.5689999999</v>
      </c>
      <c r="AG10" s="170">
        <v>-1.8995895999999999E-3</v>
      </c>
    </row>
    <row r="11" spans="1:33">
      <c r="A11" s="133" t="s">
        <v>9</v>
      </c>
      <c r="B11" s="169">
        <v>21.739000000000001</v>
      </c>
      <c r="C11" s="169">
        <v>1.954</v>
      </c>
      <c r="D11" s="170">
        <v>10.125383828</v>
      </c>
      <c r="E11" s="169">
        <v>640.072</v>
      </c>
      <c r="F11" s="169">
        <v>230.84100000000001</v>
      </c>
      <c r="G11" s="170">
        <v>1.7727829978</v>
      </c>
      <c r="H11" s="169">
        <v>662.47</v>
      </c>
      <c r="I11" s="170">
        <v>0.17245932050000001</v>
      </c>
      <c r="J11" s="169">
        <v>0</v>
      </c>
      <c r="K11" s="169">
        <v>2.1389999999999998</v>
      </c>
      <c r="L11" s="170">
        <v>-1</v>
      </c>
      <c r="M11" s="169">
        <v>252.227</v>
      </c>
      <c r="N11" s="169">
        <v>41.148000000000003</v>
      </c>
      <c r="O11" s="170">
        <v>5.1297511421999999</v>
      </c>
      <c r="P11" s="169">
        <v>255.215</v>
      </c>
      <c r="Q11" s="170">
        <v>4.8990153475999998</v>
      </c>
      <c r="R11" s="169">
        <v>40584.830999999998</v>
      </c>
      <c r="S11" s="169">
        <v>44274.277999999998</v>
      </c>
      <c r="T11" s="170">
        <v>-8.3331612999999999E-2</v>
      </c>
      <c r="U11" s="169">
        <v>362840.34499999997</v>
      </c>
      <c r="V11" s="169">
        <v>451381.83500000002</v>
      </c>
      <c r="W11" s="170">
        <v>-0.19615652010000001</v>
      </c>
      <c r="X11" s="169">
        <v>409632.43400000001</v>
      </c>
      <c r="Y11" s="170">
        <v>-0.18279988129999999</v>
      </c>
      <c r="Z11" s="169">
        <v>16089.413</v>
      </c>
      <c r="AA11" s="169">
        <v>30707.764999999999</v>
      </c>
      <c r="AB11" s="170">
        <v>-0.47604741020000002</v>
      </c>
      <c r="AC11" s="169">
        <v>201069.774</v>
      </c>
      <c r="AD11" s="169">
        <v>205192.698</v>
      </c>
      <c r="AE11" s="170">
        <v>-2.0092937200000001E-2</v>
      </c>
      <c r="AF11" s="169">
        <v>251849.304</v>
      </c>
      <c r="AG11" s="170">
        <v>2.4198087000000001E-3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85936.983999999997</v>
      </c>
      <c r="AA12" s="169">
        <v>119677.701</v>
      </c>
      <c r="AB12" s="170">
        <v>-0.28192985590000003</v>
      </c>
      <c r="AC12" s="169">
        <v>985277.11499999999</v>
      </c>
      <c r="AD12" s="169">
        <v>1030283.6189999999</v>
      </c>
      <c r="AE12" s="170">
        <v>-4.3683606299999997E-2</v>
      </c>
      <c r="AF12" s="169">
        <v>1172643.4920000001</v>
      </c>
      <c r="AG12" s="170">
        <v>-5.9440838400000001E-2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232505.106</v>
      </c>
      <c r="S13" s="169">
        <v>247112.68400000001</v>
      </c>
      <c r="T13" s="170">
        <v>-5.9113023899999999E-2</v>
      </c>
      <c r="U13" s="169">
        <v>2385188.0989999999</v>
      </c>
      <c r="V13" s="169">
        <v>2613055.443</v>
      </c>
      <c r="W13" s="170">
        <v>-8.7203409600000004E-2</v>
      </c>
      <c r="X13" s="169">
        <v>2843364.281</v>
      </c>
      <c r="Y13" s="170">
        <v>-8.2406915299999994E-2</v>
      </c>
      <c r="Z13" s="169">
        <v>354061.46299999999</v>
      </c>
      <c r="AA13" s="169">
        <v>385374.23100000003</v>
      </c>
      <c r="AB13" s="170">
        <v>-8.1252884799999994E-2</v>
      </c>
      <c r="AC13" s="169">
        <v>2953243.5490000001</v>
      </c>
      <c r="AD13" s="169">
        <v>3032404.47</v>
      </c>
      <c r="AE13" s="170">
        <v>-2.61050008E-2</v>
      </c>
      <c r="AF13" s="169">
        <v>3617556.73</v>
      </c>
      <c r="AG13" s="170">
        <v>-1.9581779399999999E-2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0</v>
      </c>
      <c r="Z14" s="169">
        <v>0</v>
      </c>
      <c r="AA14" s="169">
        <v>0</v>
      </c>
      <c r="AB14" s="170">
        <v>0</v>
      </c>
      <c r="AC14" s="169">
        <v>0</v>
      </c>
      <c r="AD14" s="169">
        <v>-65.988</v>
      </c>
      <c r="AE14" s="170">
        <v>-1</v>
      </c>
      <c r="AF14" s="169">
        <v>0</v>
      </c>
      <c r="AG14" s="170">
        <v>-1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1839.432</v>
      </c>
      <c r="AA15" s="169">
        <v>443.24</v>
      </c>
      <c r="AB15" s="170">
        <v>3.1499684144</v>
      </c>
      <c r="AC15" s="169">
        <v>21442.843000000001</v>
      </c>
      <c r="AD15" s="169">
        <v>15717.677</v>
      </c>
      <c r="AE15" s="170">
        <v>0.36425013699999997</v>
      </c>
      <c r="AF15" s="169">
        <v>23201.937999999998</v>
      </c>
      <c r="AG15" s="170">
        <v>0.34471325520000001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10.36</v>
      </c>
      <c r="T16" s="170">
        <v>-1</v>
      </c>
      <c r="U16" s="169">
        <v>0</v>
      </c>
      <c r="V16" s="169">
        <v>1259.3420000000001</v>
      </c>
      <c r="W16" s="170">
        <v>-1</v>
      </c>
      <c r="X16" s="169">
        <v>8.7279999999999998</v>
      </c>
      <c r="Y16" s="170">
        <v>-0.99370371390000001</v>
      </c>
      <c r="Z16" s="169">
        <v>116739.524</v>
      </c>
      <c r="AA16" s="169">
        <v>57760.656999999999</v>
      </c>
      <c r="AB16" s="170">
        <v>1.0210906534999999</v>
      </c>
      <c r="AC16" s="169">
        <v>1268138.3419999999</v>
      </c>
      <c r="AD16" s="169">
        <v>1156008.601</v>
      </c>
      <c r="AE16" s="170">
        <v>9.6997324199999999E-2</v>
      </c>
      <c r="AF16" s="169">
        <v>1439591.149</v>
      </c>
      <c r="AG16" s="170">
        <v>0.11067310480000001</v>
      </c>
    </row>
    <row r="17" spans="1:33">
      <c r="A17" s="133" t="s">
        <v>4</v>
      </c>
      <c r="B17" s="169">
        <v>0</v>
      </c>
      <c r="C17" s="169">
        <v>4.7E-2</v>
      </c>
      <c r="D17" s="170">
        <v>-1</v>
      </c>
      <c r="E17" s="169">
        <v>0.112</v>
      </c>
      <c r="F17" s="169">
        <v>0.114</v>
      </c>
      <c r="G17" s="170">
        <v>-1.75438596E-2</v>
      </c>
      <c r="H17" s="169">
        <v>0.23499999999999999</v>
      </c>
      <c r="I17" s="170">
        <v>1.0614035088</v>
      </c>
      <c r="J17" s="169">
        <v>4.6550000000000002</v>
      </c>
      <c r="K17" s="169">
        <v>5.625</v>
      </c>
      <c r="L17" s="170">
        <v>-0.17244444440000001</v>
      </c>
      <c r="M17" s="169">
        <v>62.896999999999998</v>
      </c>
      <c r="N17" s="169">
        <v>67.994</v>
      </c>
      <c r="O17" s="170">
        <v>-7.4962496700000006E-2</v>
      </c>
      <c r="P17" s="169">
        <v>71.430000000000007</v>
      </c>
      <c r="Q17" s="170">
        <v>-5.6942555700000001E-2</v>
      </c>
      <c r="R17" s="169">
        <v>38838.658000000003</v>
      </c>
      <c r="S17" s="169">
        <v>33267.044000000002</v>
      </c>
      <c r="T17" s="170">
        <v>0.16748148709999999</v>
      </c>
      <c r="U17" s="169">
        <v>454904.80300000001</v>
      </c>
      <c r="V17" s="169">
        <v>341923.89799999999</v>
      </c>
      <c r="W17" s="170">
        <v>0.33042705020000002</v>
      </c>
      <c r="X17" s="169">
        <v>503495.77600000001</v>
      </c>
      <c r="Y17" s="170">
        <v>0.34341235640000001</v>
      </c>
      <c r="Z17" s="169">
        <v>36278.264999999999</v>
      </c>
      <c r="AA17" s="169">
        <v>30035.51</v>
      </c>
      <c r="AB17" s="170">
        <v>0.20784581320000001</v>
      </c>
      <c r="AC17" s="169">
        <v>348226.94699999999</v>
      </c>
      <c r="AD17" s="169">
        <v>297453.549</v>
      </c>
      <c r="AE17" s="170">
        <v>0.17069353570000001</v>
      </c>
      <c r="AF17" s="169">
        <v>397354.50900000002</v>
      </c>
      <c r="AG17" s="170">
        <v>0.16948930879999999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349.95</v>
      </c>
      <c r="S18" s="169">
        <v>148.01499999999999</v>
      </c>
      <c r="T18" s="170">
        <v>1.3642874033000001</v>
      </c>
      <c r="U18" s="169">
        <v>1507.5039999999999</v>
      </c>
      <c r="V18" s="169">
        <v>1293.308</v>
      </c>
      <c r="W18" s="170">
        <v>0.165618708</v>
      </c>
      <c r="X18" s="169">
        <v>1777.3009999999999</v>
      </c>
      <c r="Y18" s="170">
        <v>0.15948769369999999</v>
      </c>
      <c r="Z18" s="169">
        <v>1102.847</v>
      </c>
      <c r="AA18" s="169">
        <v>524.73299999999995</v>
      </c>
      <c r="AB18" s="170">
        <v>1.1017298321</v>
      </c>
      <c r="AC18" s="169">
        <v>6936.5169999999998</v>
      </c>
      <c r="AD18" s="169">
        <v>6098.0370000000003</v>
      </c>
      <c r="AE18" s="170">
        <v>0.13749998569999999</v>
      </c>
      <c r="AF18" s="169">
        <v>7806.4380000000001</v>
      </c>
      <c r="AG18" s="170">
        <v>2.0775793099999999E-2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2285.203</v>
      </c>
      <c r="S19" s="169">
        <v>1621.069</v>
      </c>
      <c r="T19" s="170">
        <v>0.4096889152</v>
      </c>
      <c r="U19" s="169">
        <v>31538.066999999999</v>
      </c>
      <c r="V19" s="169">
        <v>31812.386999999999</v>
      </c>
      <c r="W19" s="170">
        <v>-8.6230561999999997E-3</v>
      </c>
      <c r="X19" s="169">
        <v>36691.144999999997</v>
      </c>
      <c r="Y19" s="170">
        <v>-1.4414616099999999E-2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529.25599999999997</v>
      </c>
      <c r="K20" s="169">
        <v>280.00349999999997</v>
      </c>
      <c r="L20" s="170">
        <v>0.89017637279999995</v>
      </c>
      <c r="M20" s="169">
        <v>5060.8545000000004</v>
      </c>
      <c r="N20" s="169">
        <v>4458.9865</v>
      </c>
      <c r="O20" s="170">
        <v>0.13497865489999999</v>
      </c>
      <c r="P20" s="169">
        <v>6015.643</v>
      </c>
      <c r="Q20" s="170">
        <v>0.12734149010000001</v>
      </c>
      <c r="R20" s="169">
        <v>9242.7219999999998</v>
      </c>
      <c r="S20" s="169">
        <v>10861.402</v>
      </c>
      <c r="T20" s="170">
        <v>-0.14903048429999999</v>
      </c>
      <c r="U20" s="169">
        <v>123850.0165</v>
      </c>
      <c r="V20" s="169">
        <v>113332.97100000001</v>
      </c>
      <c r="W20" s="170">
        <v>9.2797756999999995E-2</v>
      </c>
      <c r="X20" s="169">
        <v>143652.046</v>
      </c>
      <c r="Y20" s="170">
        <v>7.2547061699999998E-2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529.25599999999997</v>
      </c>
      <c r="K21" s="169">
        <v>280.00349999999997</v>
      </c>
      <c r="L21" s="170">
        <v>0.89017637279999995</v>
      </c>
      <c r="M21" s="169">
        <v>5060.8545000000004</v>
      </c>
      <c r="N21" s="169">
        <v>4458.9865</v>
      </c>
      <c r="O21" s="170">
        <v>0.13497865489999999</v>
      </c>
      <c r="P21" s="169">
        <v>6015.643</v>
      </c>
      <c r="Q21" s="170">
        <v>0.12734149010000001</v>
      </c>
      <c r="R21" s="169">
        <v>9242.7219999999998</v>
      </c>
      <c r="S21" s="169">
        <v>10861.402</v>
      </c>
      <c r="T21" s="170">
        <v>-0.14903048429999999</v>
      </c>
      <c r="U21" s="169">
        <v>123850.0165</v>
      </c>
      <c r="V21" s="169">
        <v>113332.97100000001</v>
      </c>
      <c r="W21" s="170">
        <v>9.2797756999999995E-2</v>
      </c>
      <c r="X21" s="169">
        <v>143652.046</v>
      </c>
      <c r="Y21" s="170">
        <v>7.2547061699999998E-2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15980.857</v>
      </c>
      <c r="C22" s="171">
        <v>15672.695</v>
      </c>
      <c r="D22" s="172">
        <v>1.96623491E-2</v>
      </c>
      <c r="E22" s="171">
        <v>157302.71</v>
      </c>
      <c r="F22" s="171">
        <v>156146.78700000001</v>
      </c>
      <c r="G22" s="172">
        <v>7.4027972000000001E-3</v>
      </c>
      <c r="H22" s="171">
        <v>187385.807</v>
      </c>
      <c r="I22" s="172">
        <v>1.8517214999999999E-3</v>
      </c>
      <c r="J22" s="171">
        <v>16701.7</v>
      </c>
      <c r="K22" s="171">
        <v>16825.106</v>
      </c>
      <c r="L22" s="172">
        <v>-7.3346343000000001E-3</v>
      </c>
      <c r="M22" s="171">
        <v>171254.557</v>
      </c>
      <c r="N22" s="171">
        <v>170748.253</v>
      </c>
      <c r="O22" s="172">
        <v>2.9652074999999998E-3</v>
      </c>
      <c r="P22" s="171">
        <v>202554.465</v>
      </c>
      <c r="Q22" s="172">
        <v>9.4566687000000003E-3</v>
      </c>
      <c r="R22" s="171">
        <v>356906.68300000002</v>
      </c>
      <c r="S22" s="171">
        <v>364308.83799999999</v>
      </c>
      <c r="T22" s="172">
        <v>-2.03183514E-2</v>
      </c>
      <c r="U22" s="171">
        <v>3767107.2579999999</v>
      </c>
      <c r="V22" s="171">
        <v>3968623.4139999999</v>
      </c>
      <c r="W22" s="172">
        <v>-5.0777343900000001E-2</v>
      </c>
      <c r="X22" s="171">
        <v>4376373.9029999999</v>
      </c>
      <c r="Y22" s="172">
        <v>-4.74337409E-2</v>
      </c>
      <c r="Z22" s="171">
        <v>770011.49899999995</v>
      </c>
      <c r="AA22" s="171">
        <v>804277.24600000004</v>
      </c>
      <c r="AB22" s="172">
        <v>-4.2604396900000001E-2</v>
      </c>
      <c r="AC22" s="171">
        <v>7310355.8789999997</v>
      </c>
      <c r="AD22" s="171">
        <v>7289680.574</v>
      </c>
      <c r="AE22" s="172">
        <v>2.8362429E-3</v>
      </c>
      <c r="AF22" s="171">
        <v>8775858.4729999993</v>
      </c>
      <c r="AG22" s="172">
        <v>6.6429410999999999E-3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144544.43599999999</v>
      </c>
      <c r="S23" s="169">
        <v>131447.49</v>
      </c>
      <c r="T23" s="170">
        <v>9.9636333899999999E-2</v>
      </c>
      <c r="U23" s="169">
        <v>1423627.4339999999</v>
      </c>
      <c r="V23" s="169">
        <v>1242883.9720000001</v>
      </c>
      <c r="W23" s="170">
        <v>0.14542263480000001</v>
      </c>
      <c r="X23" s="169">
        <v>1606803.392</v>
      </c>
      <c r="Y23" s="170">
        <v>0.16548665039999999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15980.857</v>
      </c>
      <c r="C24" s="171">
        <v>15672.695</v>
      </c>
      <c r="D24" s="172">
        <v>1.96623491E-2</v>
      </c>
      <c r="E24" s="171">
        <v>157302.71</v>
      </c>
      <c r="F24" s="171">
        <v>156146.78700000001</v>
      </c>
      <c r="G24" s="172">
        <v>7.4027972000000001E-3</v>
      </c>
      <c r="H24" s="171">
        <v>187385.807</v>
      </c>
      <c r="I24" s="172">
        <v>1.8517214999999999E-3</v>
      </c>
      <c r="J24" s="171">
        <v>16701.7</v>
      </c>
      <c r="K24" s="171">
        <v>16825.106</v>
      </c>
      <c r="L24" s="172">
        <v>-7.3346343000000001E-3</v>
      </c>
      <c r="M24" s="171">
        <v>171254.557</v>
      </c>
      <c r="N24" s="171">
        <v>170748.253</v>
      </c>
      <c r="O24" s="172">
        <v>2.9652074999999998E-3</v>
      </c>
      <c r="P24" s="171">
        <v>202554.465</v>
      </c>
      <c r="Q24" s="172">
        <v>9.4566687000000003E-3</v>
      </c>
      <c r="R24" s="171">
        <v>501451.11900000001</v>
      </c>
      <c r="S24" s="171">
        <v>495756.32799999998</v>
      </c>
      <c r="T24" s="172">
        <v>1.1487076800000001E-2</v>
      </c>
      <c r="U24" s="171">
        <v>5190734.6919999998</v>
      </c>
      <c r="V24" s="171">
        <v>5211507.3859999999</v>
      </c>
      <c r="W24" s="172">
        <v>-3.9859281999999998E-3</v>
      </c>
      <c r="X24" s="171">
        <v>5983177.2949999999</v>
      </c>
      <c r="Y24" s="172">
        <v>1.7117394E-3</v>
      </c>
      <c r="Z24" s="171">
        <v>770011.49899999995</v>
      </c>
      <c r="AA24" s="171">
        <v>804277.24600000004</v>
      </c>
      <c r="AB24" s="172">
        <v>-4.2604396900000001E-2</v>
      </c>
      <c r="AC24" s="171">
        <v>7310355.8789999997</v>
      </c>
      <c r="AD24" s="171">
        <v>7289680.574</v>
      </c>
      <c r="AE24" s="172">
        <v>2.8362429E-3</v>
      </c>
      <c r="AF24" s="171">
        <v>8775858.4729999993</v>
      </c>
      <c r="AG24" s="172">
        <v>6.6429410999999999E-3</v>
      </c>
    </row>
    <row r="25" spans="1:33">
      <c r="R25" s="162">
        <f>SUM(R10,R14)</f>
        <v>24545.519</v>
      </c>
      <c r="S25" s="162">
        <f>SUM(S10,S14)</f>
        <v>16979.832999999999</v>
      </c>
      <c r="T25" s="163">
        <f>((R25/S25)-1)*100</f>
        <v>44.556892874034745</v>
      </c>
    </row>
    <row r="26" spans="1:33">
      <c r="A26" s="102" t="s">
        <v>103</v>
      </c>
      <c r="B26" s="162">
        <f>SUM(B24,J24,R24,Z24)</f>
        <v>1304145.1749999998</v>
      </c>
      <c r="C26" s="162">
        <f>SUM(C24,K24,S24,AA24)</f>
        <v>1332531.375</v>
      </c>
      <c r="D26" s="163">
        <f>((B26/C26)-1)*100</f>
        <v>-2.1302462765651731</v>
      </c>
      <c r="R26" s="179">
        <f>R23/R24</f>
        <v>0.2882522952351812</v>
      </c>
      <c r="S26" s="179">
        <f>S23/S24</f>
        <v>0.26514535987929938</v>
      </c>
      <c r="Z26" s="163"/>
    </row>
    <row r="29" spans="1:33" ht="15">
      <c r="A29" s="134" t="s">
        <v>67</v>
      </c>
      <c r="B29" s="199" t="str">
        <f>A2</f>
        <v>Octubre 2024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647.86</v>
      </c>
      <c r="D41" s="167"/>
    </row>
    <row r="42" spans="1:4">
      <c r="A42" s="133" t="s">
        <v>4</v>
      </c>
      <c r="B42" s="176">
        <v>336.82939499999998</v>
      </c>
      <c r="C42" s="176">
        <v>277.731945</v>
      </c>
      <c r="D42" s="167"/>
    </row>
    <row r="43" spans="1:4">
      <c r="A43" s="133" t="s">
        <v>22</v>
      </c>
      <c r="B43" s="176">
        <v>3.9319999999999999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2237.2518950000003</v>
      </c>
      <c r="C47" s="177">
        <f>SUM(C33:C46)</f>
        <v>3340.4979450000001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10.78108372772213</v>
      </c>
      <c r="D52" s="165"/>
      <c r="F52" s="105" t="s">
        <v>10</v>
      </c>
      <c r="G52" s="106">
        <f>C35</f>
        <v>487.64</v>
      </c>
      <c r="H52" s="107">
        <f>G52/$G$62*100</f>
        <v>14.597823678649203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6.2308585059886612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15.588993275072946</v>
      </c>
    </row>
    <row r="54" spans="1:8">
      <c r="A54" s="105" t="s">
        <v>9</v>
      </c>
      <c r="B54" s="106">
        <f t="shared" si="1"/>
        <v>603.1</v>
      </c>
      <c r="C54" s="107">
        <f t="shared" si="0"/>
        <v>26.957179088678345</v>
      </c>
      <c r="D54" s="165"/>
      <c r="F54" s="105" t="s">
        <v>8</v>
      </c>
      <c r="G54" s="106">
        <f>C37</f>
        <v>482.64</v>
      </c>
      <c r="H54" s="107">
        <f t="shared" si="2"/>
        <v>14.448145394683065</v>
      </c>
    </row>
    <row r="55" spans="1:8">
      <c r="A55" s="105" t="s">
        <v>25</v>
      </c>
      <c r="B55" s="106">
        <f>B38</f>
        <v>822.9</v>
      </c>
      <c r="C55" s="107">
        <f t="shared" si="0"/>
        <v>36.781732170574379</v>
      </c>
      <c r="D55" s="165"/>
      <c r="F55" s="105" t="s">
        <v>25</v>
      </c>
      <c r="G55" s="106">
        <f>C38</f>
        <v>865.4</v>
      </c>
      <c r="H55" s="107">
        <f t="shared" si="2"/>
        <v>25.906317388858625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1.1435420895012705</v>
      </c>
    </row>
    <row r="57" spans="1:8">
      <c r="A57" s="105" t="s">
        <v>23</v>
      </c>
      <c r="B57" s="106">
        <f>B44</f>
        <v>11.523</v>
      </c>
      <c r="C57" s="107">
        <f t="shared" si="0"/>
        <v>0.51505152485299388</v>
      </c>
      <c r="D57" s="165"/>
      <c r="F57" s="105" t="s">
        <v>12</v>
      </c>
      <c r="G57" s="107">
        <f>C33</f>
        <v>1.52</v>
      </c>
      <c r="H57" s="107">
        <f t="shared" si="2"/>
        <v>4.5502198325704998E-2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1.6716937455091527</v>
      </c>
      <c r="D58" s="165"/>
      <c r="F58" s="105" t="s">
        <v>6</v>
      </c>
      <c r="G58" s="106">
        <f>C40</f>
        <v>11.32</v>
      </c>
      <c r="H58" s="107">
        <f t="shared" si="2"/>
        <v>0.33887163489932937</v>
      </c>
    </row>
    <row r="59" spans="1:8">
      <c r="A59" s="105" t="s">
        <v>54</v>
      </c>
      <c r="B59" s="106">
        <f>B45</f>
        <v>37.4</v>
      </c>
      <c r="C59" s="107">
        <f t="shared" si="3"/>
        <v>1.6716937455091527</v>
      </c>
      <c r="D59" s="165"/>
      <c r="F59" s="105" t="s">
        <v>5</v>
      </c>
      <c r="G59" s="106">
        <f>C41</f>
        <v>647.86</v>
      </c>
      <c r="H59" s="107">
        <f t="shared" si="2"/>
        <v>19.394114610060029</v>
      </c>
    </row>
    <row r="60" spans="1:8">
      <c r="A60" s="105" t="s">
        <v>5</v>
      </c>
      <c r="B60" s="106">
        <f>B41</f>
        <v>3.5674999999999999</v>
      </c>
      <c r="C60" s="107">
        <f t="shared" si="3"/>
        <v>0.15945902238245729</v>
      </c>
      <c r="D60" s="165"/>
      <c r="F60" s="105" t="s">
        <v>4</v>
      </c>
      <c r="G60" s="106">
        <f>C42</f>
        <v>277.731945</v>
      </c>
      <c r="H60" s="107">
        <f t="shared" si="2"/>
        <v>8.3140881860353897</v>
      </c>
    </row>
    <row r="61" spans="1:8">
      <c r="A61" s="105" t="s">
        <v>4</v>
      </c>
      <c r="B61" s="106">
        <f>B42</f>
        <v>336.82939499999998</v>
      </c>
      <c r="C61" s="107">
        <f t="shared" si="3"/>
        <v>15.055497137035612</v>
      </c>
      <c r="D61" s="165"/>
      <c r="F61" s="105" t="s">
        <v>22</v>
      </c>
      <c r="G61" s="106">
        <f>C43</f>
        <v>7.4359999999999999</v>
      </c>
      <c r="H61" s="107">
        <f t="shared" si="2"/>
        <v>0.22260154391443576</v>
      </c>
    </row>
    <row r="62" spans="1:8">
      <c r="A62" s="105" t="s">
        <v>22</v>
      </c>
      <c r="B62" s="106">
        <f>B43</f>
        <v>3.9319999999999999</v>
      </c>
      <c r="C62" s="107">
        <f t="shared" si="3"/>
        <v>0.17575133174711202</v>
      </c>
      <c r="D62" s="165"/>
      <c r="F62" s="108" t="s">
        <v>20</v>
      </c>
      <c r="G62" s="109">
        <f>SUM(G52:G61)</f>
        <v>3340.4979450000001</v>
      </c>
      <c r="H62" s="110">
        <f>SUM(H52:H61)</f>
        <v>100</v>
      </c>
    </row>
    <row r="63" spans="1:8">
      <c r="A63" s="108" t="s">
        <v>20</v>
      </c>
      <c r="B63" s="109">
        <f>SUM(B52:B62)</f>
        <v>2237.2518949999999</v>
      </c>
      <c r="C63" s="110">
        <f>SUM(C52:C62)</f>
        <v>100.00000000000001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0">
        <f>(C68/SUM($C$68:$C$78))*100</f>
        <v>0</v>
      </c>
      <c r="F68" s="105" t="s">
        <v>10</v>
      </c>
      <c r="G68" s="107">
        <f>SUM(Z10,Z14)/Z$24*100</f>
        <v>20.475683571577417</v>
      </c>
    </row>
    <row r="69" spans="1:7">
      <c r="A69" s="105" t="s">
        <v>10</v>
      </c>
      <c r="B69" s="107">
        <f t="shared" ref="B69:B78" si="4">C69/$C$80*100</f>
        <v>4.888190683129511</v>
      </c>
      <c r="C69" s="106">
        <f>R10</f>
        <v>24545.519</v>
      </c>
      <c r="D69" s="180">
        <f t="shared" ref="D69:D78" si="5">(C69/SUM($C$68:$C$78))*100</f>
        <v>6.8640609732060609</v>
      </c>
      <c r="F69" s="105" t="s">
        <v>9</v>
      </c>
      <c r="G69" s="107">
        <f>Z11/Z$24*100</f>
        <v>2.0895029516955308</v>
      </c>
    </row>
    <row r="70" spans="1:7">
      <c r="A70" s="105" t="s">
        <v>9</v>
      </c>
      <c r="B70" s="107">
        <f t="shared" si="4"/>
        <v>8.0823873706066571</v>
      </c>
      <c r="C70" s="106">
        <f>R11</f>
        <v>40584.830999999998</v>
      </c>
      <c r="D70" s="180">
        <f t="shared" si="5"/>
        <v>11.349393531718089</v>
      </c>
      <c r="F70" s="105" t="s">
        <v>8</v>
      </c>
      <c r="G70" s="107">
        <f>Z12/Z$24*100</f>
        <v>11.160480604718865</v>
      </c>
    </row>
    <row r="71" spans="1:7">
      <c r="A71" s="105" t="s">
        <v>25</v>
      </c>
      <c r="B71" s="107">
        <f t="shared" si="4"/>
        <v>46.302923679439793</v>
      </c>
      <c r="C71" s="106">
        <f>R13</f>
        <v>232505.106</v>
      </c>
      <c r="D71" s="180">
        <f>(C71/SUM($C$68:$C$78))*100</f>
        <v>65.019168026788847</v>
      </c>
      <c r="F71" s="105" t="s">
        <v>25</v>
      </c>
      <c r="G71" s="107">
        <f>Z13/Z$24*100</f>
        <v>45.981321507511666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1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0.45509357588485327</v>
      </c>
      <c r="C73" s="106">
        <f>R19</f>
        <v>2285.203</v>
      </c>
      <c r="D73" s="180">
        <f t="shared" si="5"/>
        <v>0.63904832194232308</v>
      </c>
      <c r="F73" s="105" t="s">
        <v>12</v>
      </c>
      <c r="G73" s="107">
        <f>Z8/Z$24*100</f>
        <v>3.8759551044055256E-2</v>
      </c>
    </row>
    <row r="74" spans="1:7">
      <c r="A74" s="105" t="s">
        <v>55</v>
      </c>
      <c r="B74" s="107">
        <f t="shared" si="4"/>
        <v>1.8406694748298522</v>
      </c>
      <c r="C74" s="106">
        <f>R21</f>
        <v>9242.7219999999998</v>
      </c>
      <c r="D74" s="180">
        <f t="shared" si="5"/>
        <v>2.5846920314210124</v>
      </c>
      <c r="F74" s="105" t="s">
        <v>6</v>
      </c>
      <c r="G74" s="107">
        <f>Z15/Z$24*100</f>
        <v>0.23888370529386083</v>
      </c>
    </row>
    <row r="75" spans="1:7">
      <c r="A75" s="105" t="s">
        <v>54</v>
      </c>
      <c r="B75" s="107">
        <f t="shared" si="4"/>
        <v>1.8406694748298522</v>
      </c>
      <c r="C75" s="106">
        <f>R20</f>
        <v>9242.7219999999998</v>
      </c>
      <c r="D75" s="180">
        <f t="shared" si="5"/>
        <v>2.5846920314210124</v>
      </c>
      <c r="F75" s="105" t="s">
        <v>5</v>
      </c>
      <c r="G75" s="107">
        <f>Z16/Z$24*100</f>
        <v>15.160750735749728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0">
        <f t="shared" si="5"/>
        <v>0</v>
      </c>
      <c r="F76" s="105" t="s">
        <v>4</v>
      </c>
      <c r="G76" s="107">
        <f>Z17/Z$24*100</f>
        <v>4.711392628176843</v>
      </c>
    </row>
    <row r="77" spans="1:7">
      <c r="A77" s="105" t="s">
        <v>4</v>
      </c>
      <c r="B77" s="107">
        <f t="shared" si="4"/>
        <v>7.7346405338120361</v>
      </c>
      <c r="C77" s="106">
        <f>R17</f>
        <v>38838.658000000003</v>
      </c>
      <c r="D77" s="180">
        <f t="shared" si="5"/>
        <v>10.861082897839616</v>
      </c>
      <c r="F77" s="105" t="s">
        <v>22</v>
      </c>
      <c r="G77" s="107">
        <f>Z18/Z$24*100</f>
        <v>0.14322474423203388</v>
      </c>
    </row>
    <row r="78" spans="1:7">
      <c r="A78" s="105" t="s">
        <v>22</v>
      </c>
      <c r="B78" s="107">
        <f t="shared" si="4"/>
        <v>6.9691837828369907E-2</v>
      </c>
      <c r="C78" s="106">
        <f>R18</f>
        <v>349.95</v>
      </c>
      <c r="D78" s="180">
        <f t="shared" si="5"/>
        <v>9.7862185663031231E-2</v>
      </c>
      <c r="F78" s="108" t="s">
        <v>20</v>
      </c>
      <c r="G78" s="110">
        <f>SUM(G68:G77)</f>
        <v>99.999999999999986</v>
      </c>
    </row>
    <row r="79" spans="1:7">
      <c r="A79" s="105" t="s">
        <v>21</v>
      </c>
      <c r="B79" s="107">
        <f>C79/$C$80*100</f>
        <v>28.785733369639072</v>
      </c>
      <c r="C79" s="106">
        <f>R23</f>
        <v>144544.43599999999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502139.147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126</v>
      </c>
      <c r="X86" s="182" t="s">
        <v>127</v>
      </c>
      <c r="Y86" s="182" t="s">
        <v>131</v>
      </c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/>
    </row>
    <row r="88" spans="1:26" ht="15">
      <c r="A88" s="210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26.418958</v>
      </c>
      <c r="U88" s="173">
        <v>1.554179</v>
      </c>
      <c r="V88" s="173">
        <v>-0.75178999999999996</v>
      </c>
      <c r="W88" s="173">
        <v>-0.70974400000000004</v>
      </c>
      <c r="X88" s="173">
        <v>-0.68802799999999997</v>
      </c>
      <c r="Y88" s="173">
        <v>0</v>
      </c>
      <c r="Z88"/>
    </row>
    <row r="89" spans="1:26" ht="15">
      <c r="A89" s="211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6.2655310000000002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17.869899</v>
      </c>
      <c r="U89" s="173">
        <v>51.149709999999999</v>
      </c>
      <c r="V89" s="173">
        <v>62.806652999999997</v>
      </c>
      <c r="W89" s="173">
        <v>36.525360999999997</v>
      </c>
      <c r="X89" s="173">
        <v>24.545518999999999</v>
      </c>
      <c r="Y89" s="173">
        <v>5.246359</v>
      </c>
      <c r="Z89"/>
    </row>
    <row r="90" spans="1:26" ht="15">
      <c r="A90" s="211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43.333288000000003</v>
      </c>
      <c r="U90" s="173">
        <v>52.282953999999997</v>
      </c>
      <c r="V90" s="173">
        <v>57.566750999999996</v>
      </c>
      <c r="W90" s="173">
        <v>36.281736000000002</v>
      </c>
      <c r="X90" s="173">
        <v>40.584831000000001</v>
      </c>
      <c r="Y90" s="173">
        <v>8.2313550000000006</v>
      </c>
      <c r="Z90"/>
    </row>
    <row r="91" spans="1:26" ht="15">
      <c r="A91" s="211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212.499032</v>
      </c>
      <c r="U91" s="173">
        <v>272.94692199999997</v>
      </c>
      <c r="V91" s="173">
        <v>333.50170400000002</v>
      </c>
      <c r="W91" s="173">
        <v>245.22935200000001</v>
      </c>
      <c r="X91" s="173">
        <v>232.50510600000001</v>
      </c>
      <c r="Y91" s="173">
        <v>92.838803999999996</v>
      </c>
      <c r="Z91"/>
    </row>
    <row r="92" spans="1:26" ht="15">
      <c r="A92" s="211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/>
    </row>
    <row r="93" spans="1:26" ht="15">
      <c r="A93" s="211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/>
    </row>
    <row r="94" spans="1:26" ht="15">
      <c r="A94" s="211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44.656185000000001</v>
      </c>
      <c r="K94" s="173">
        <v>34.979346999999997</v>
      </c>
      <c r="L94" s="173">
        <v>33.267043999999999</v>
      </c>
      <c r="M94" s="173">
        <v>25.444734</v>
      </c>
      <c r="N94" s="173">
        <v>23.146239000000001</v>
      </c>
      <c r="O94" s="173">
        <v>24.18449</v>
      </c>
      <c r="P94" s="173">
        <v>30.778489</v>
      </c>
      <c r="Q94" s="173">
        <v>45.320208999999998</v>
      </c>
      <c r="R94" s="173">
        <v>44.568354999999997</v>
      </c>
      <c r="S94" s="173">
        <v>58.305483000000002</v>
      </c>
      <c r="T94" s="173">
        <v>53.291172000000003</v>
      </c>
      <c r="U94" s="173">
        <v>60.161617</v>
      </c>
      <c r="V94" s="173">
        <v>55.457568000000002</v>
      </c>
      <c r="W94" s="173">
        <v>43.998761999999999</v>
      </c>
      <c r="X94" s="173">
        <v>38.838658000000002</v>
      </c>
      <c r="Y94" s="173">
        <v>10.936878</v>
      </c>
      <c r="Z94"/>
    </row>
    <row r="95" spans="1:26" ht="15">
      <c r="A95" s="211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0.10423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7.8099000000000002E-2</v>
      </c>
      <c r="U95" s="173">
        <v>0.18402499999999999</v>
      </c>
      <c r="V95" s="173">
        <v>0.28992600000000002</v>
      </c>
      <c r="W95" s="173">
        <v>0.364813</v>
      </c>
      <c r="X95" s="173">
        <v>0.34994999999999998</v>
      </c>
      <c r="Y95" s="173">
        <v>0.10202600000000001</v>
      </c>
      <c r="Z95"/>
    </row>
    <row r="96" spans="1:26" ht="15">
      <c r="A96" s="211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3.4609559999999999</v>
      </c>
      <c r="U96" s="173">
        <v>3.2774670000000001</v>
      </c>
      <c r="V96" s="173">
        <v>3.1243509999999999</v>
      </c>
      <c r="W96" s="173">
        <v>2.778902</v>
      </c>
      <c r="X96" s="173">
        <v>2.2852030000000001</v>
      </c>
      <c r="Y96" s="173">
        <v>0.55352000000000001</v>
      </c>
      <c r="Z96"/>
    </row>
    <row r="97" spans="1:26" ht="15">
      <c r="A97" s="211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16.584269500000001</v>
      </c>
      <c r="U97" s="173">
        <v>15.726691000000001</v>
      </c>
      <c r="V97" s="173">
        <v>15.578734000000001</v>
      </c>
      <c r="W97" s="173">
        <v>14.1961285</v>
      </c>
      <c r="X97" s="173">
        <v>9.2427220000000005</v>
      </c>
      <c r="Y97" s="173">
        <v>4.0942499999999997</v>
      </c>
      <c r="Z97"/>
    </row>
    <row r="98" spans="1:26" ht="15">
      <c r="A98" s="211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16.584269500000001</v>
      </c>
      <c r="U98" s="173">
        <v>15.726691000000001</v>
      </c>
      <c r="V98" s="173">
        <v>15.578734000000001</v>
      </c>
      <c r="W98" s="173">
        <v>14.1961285</v>
      </c>
      <c r="X98" s="173">
        <v>9.2427220000000005</v>
      </c>
      <c r="Y98" s="173">
        <v>4.0942499999999997</v>
      </c>
      <c r="Z98"/>
    </row>
    <row r="99" spans="1:26" ht="15">
      <c r="A99" s="211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529.62697700000001</v>
      </c>
      <c r="K99" s="174">
        <v>435.53787999999997</v>
      </c>
      <c r="L99" s="174">
        <v>364.30883799999998</v>
      </c>
      <c r="M99" s="174">
        <v>302.76486</v>
      </c>
      <c r="N99" s="174">
        <v>306.50178499999998</v>
      </c>
      <c r="O99" s="174">
        <v>322.95362299999999</v>
      </c>
      <c r="P99" s="174">
        <v>292.22523799999999</v>
      </c>
      <c r="Q99" s="174">
        <v>317.716701</v>
      </c>
      <c r="R99" s="174">
        <v>321.59470199999998</v>
      </c>
      <c r="S99" s="174">
        <v>356.56604199999998</v>
      </c>
      <c r="T99" s="174">
        <v>390.11994299999998</v>
      </c>
      <c r="U99" s="174">
        <v>473.01025600000003</v>
      </c>
      <c r="V99" s="174">
        <v>543.15263100000004</v>
      </c>
      <c r="W99" s="174">
        <v>392.86143900000002</v>
      </c>
      <c r="X99" s="174">
        <v>356.90668299999999</v>
      </c>
      <c r="Y99" s="174">
        <v>126.097442</v>
      </c>
      <c r="Z99"/>
    </row>
    <row r="100" spans="1:26" ht="15">
      <c r="A100" s="211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145.36358899999999</v>
      </c>
      <c r="U100" s="173">
        <v>208.454387</v>
      </c>
      <c r="V100" s="173">
        <v>187.956546</v>
      </c>
      <c r="W100" s="173">
        <v>162.00915900000001</v>
      </c>
      <c r="X100" s="173">
        <v>144.54443599999999</v>
      </c>
      <c r="Y100" s="173">
        <v>29.770600000000002</v>
      </c>
      <c r="Z100"/>
    </row>
    <row r="101" spans="1:26" ht="15">
      <c r="A101" s="212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704.63626799999997</v>
      </c>
      <c r="K101" s="174">
        <v>566.39258199999995</v>
      </c>
      <c r="L101" s="174">
        <v>495.756328</v>
      </c>
      <c r="M101" s="174">
        <v>373.50054999999998</v>
      </c>
      <c r="N101" s="174">
        <v>418.94205299999999</v>
      </c>
      <c r="O101" s="174">
        <v>445.71389699999997</v>
      </c>
      <c r="P101" s="174">
        <v>406.96931999999998</v>
      </c>
      <c r="Q101" s="174">
        <v>428.38442800000001</v>
      </c>
      <c r="R101" s="174">
        <v>430.95705199999998</v>
      </c>
      <c r="S101" s="174">
        <v>474.33092599999998</v>
      </c>
      <c r="T101" s="174">
        <v>535.48353199999997</v>
      </c>
      <c r="U101" s="174">
        <v>681.46464300000002</v>
      </c>
      <c r="V101" s="174">
        <v>731.10917700000005</v>
      </c>
      <c r="W101" s="174">
        <v>554.87059799999997</v>
      </c>
      <c r="X101" s="174">
        <v>501.45111900000001</v>
      </c>
      <c r="Y101" s="174">
        <v>155.868042</v>
      </c>
      <c r="Z101"/>
    </row>
    <row r="102" spans="1:26" ht="15">
      <c r="A102" s="215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0.27541500000000002</v>
      </c>
      <c r="U102" s="173">
        <v>0.290603</v>
      </c>
      <c r="V102" s="173">
        <v>0.28181699999999998</v>
      </c>
      <c r="W102" s="173">
        <v>0.27621200000000001</v>
      </c>
      <c r="X102" s="173">
        <v>0.29845300000000002</v>
      </c>
      <c r="Y102" s="173">
        <v>0</v>
      </c>
      <c r="Z102"/>
    </row>
    <row r="103" spans="1:26" ht="15">
      <c r="A103" s="211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157.97160400000001</v>
      </c>
      <c r="K103" s="173">
        <v>154.76962499999999</v>
      </c>
      <c r="L103" s="173">
        <v>179.45008000000001</v>
      </c>
      <c r="M103" s="173">
        <v>168.21234899999999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147.24789200000001</v>
      </c>
      <c r="U103" s="173">
        <v>156.974729</v>
      </c>
      <c r="V103" s="173">
        <v>149.168069</v>
      </c>
      <c r="W103" s="173">
        <v>154.83455499999999</v>
      </c>
      <c r="X103" s="173">
        <v>157.66511800000001</v>
      </c>
      <c r="Y103" s="173">
        <v>70.425910999999999</v>
      </c>
      <c r="Z103"/>
    </row>
    <row r="104" spans="1:26" ht="15">
      <c r="A104" s="211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26.579124</v>
      </c>
      <c r="U104" s="173">
        <v>16.279032000000001</v>
      </c>
      <c r="V104" s="173">
        <v>15.569345999999999</v>
      </c>
      <c r="W104" s="173">
        <v>24.246791000000002</v>
      </c>
      <c r="X104" s="173">
        <v>16.089413</v>
      </c>
      <c r="Y104" s="173">
        <v>6.9087529999999999</v>
      </c>
      <c r="Z104"/>
    </row>
    <row r="105" spans="1:26" ht="15">
      <c r="A105" s="211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79.128829999999994</v>
      </c>
      <c r="U105" s="173">
        <v>105.68064699999999</v>
      </c>
      <c r="V105" s="173">
        <v>101.50272699999999</v>
      </c>
      <c r="W105" s="173">
        <v>73.604264000000001</v>
      </c>
      <c r="X105" s="173">
        <v>85.936983999999995</v>
      </c>
      <c r="Y105" s="173">
        <v>31.764921999999999</v>
      </c>
      <c r="Z105"/>
    </row>
    <row r="106" spans="1:26" ht="15">
      <c r="A106" s="211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269.75380799999999</v>
      </c>
      <c r="U106" s="173">
        <v>264.109264</v>
      </c>
      <c r="V106" s="173">
        <v>258.28017799999998</v>
      </c>
      <c r="W106" s="173">
        <v>294.563964</v>
      </c>
      <c r="X106" s="173">
        <v>354.061463</v>
      </c>
      <c r="Y106" s="173">
        <v>178.156712</v>
      </c>
      <c r="Z106"/>
    </row>
    <row r="107" spans="1:26" ht="15">
      <c r="A107" s="211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/>
    </row>
    <row r="108" spans="1:26" ht="15">
      <c r="A108" s="211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2.6292490000000002</v>
      </c>
      <c r="U108" s="173">
        <v>3.5113029999999998</v>
      </c>
      <c r="V108" s="173">
        <v>3.975784</v>
      </c>
      <c r="W108" s="173">
        <v>2.2682389999999999</v>
      </c>
      <c r="X108" s="173">
        <v>1.839432</v>
      </c>
      <c r="Y108" s="173">
        <v>0.24981500000000001</v>
      </c>
      <c r="Z108"/>
    </row>
    <row r="109" spans="1:26" ht="15">
      <c r="A109" s="211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57.760657000000002</v>
      </c>
      <c r="M109" s="173">
        <v>100.369928</v>
      </c>
      <c r="N109" s="173">
        <v>71.082879000000005</v>
      </c>
      <c r="O109" s="173">
        <v>53.195481000000001</v>
      </c>
      <c r="P109" s="173">
        <v>108.751255</v>
      </c>
      <c r="Q109" s="173">
        <v>89.285196999999997</v>
      </c>
      <c r="R109" s="173">
        <v>94.671989999999994</v>
      </c>
      <c r="S109" s="173">
        <v>147.019094</v>
      </c>
      <c r="T109" s="173">
        <v>129.86778200000001</v>
      </c>
      <c r="U109" s="173">
        <v>169.43657200000001</v>
      </c>
      <c r="V109" s="173">
        <v>210.63246799999999</v>
      </c>
      <c r="W109" s="173">
        <v>148.53897900000001</v>
      </c>
      <c r="X109" s="173">
        <v>116.739524</v>
      </c>
      <c r="Y109" s="173">
        <v>21.91095</v>
      </c>
      <c r="Z109"/>
    </row>
    <row r="110" spans="1:26" ht="15">
      <c r="A110" s="211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33.812891999999998</v>
      </c>
      <c r="K110" s="173">
        <v>31.437576</v>
      </c>
      <c r="L110" s="173">
        <v>30.035509999999999</v>
      </c>
      <c r="M110" s="173">
        <v>25.317008999999999</v>
      </c>
      <c r="N110" s="173">
        <v>23.810552999999999</v>
      </c>
      <c r="O110" s="173">
        <v>24.702621000000001</v>
      </c>
      <c r="P110" s="173">
        <v>26.401495000000001</v>
      </c>
      <c r="Q110" s="173">
        <v>31.966273999999999</v>
      </c>
      <c r="R110" s="173">
        <v>35.953691999999997</v>
      </c>
      <c r="S110" s="173">
        <v>35.545333999999997</v>
      </c>
      <c r="T110" s="173">
        <v>36.232920999999997</v>
      </c>
      <c r="U110" s="173">
        <v>42.799511000000003</v>
      </c>
      <c r="V110" s="173">
        <v>40.863112000000001</v>
      </c>
      <c r="W110" s="173">
        <v>37.483722</v>
      </c>
      <c r="X110" s="173">
        <v>36.278264999999998</v>
      </c>
      <c r="Y110" s="173">
        <v>12.140428999999999</v>
      </c>
      <c r="Z110"/>
    </row>
    <row r="111" spans="1:26" ht="15">
      <c r="A111" s="211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0.49796200000000002</v>
      </c>
      <c r="U111" s="173">
        <v>0.62341999999999997</v>
      </c>
      <c r="V111" s="173">
        <v>1.3289139999999999</v>
      </c>
      <c r="W111" s="173">
        <v>1.1101749999999999</v>
      </c>
      <c r="X111" s="173">
        <v>1.1028469999999999</v>
      </c>
      <c r="Y111" s="173">
        <v>0</v>
      </c>
      <c r="Z111"/>
    </row>
    <row r="112" spans="1:26" ht="15">
      <c r="A112" s="211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802.59653400000002</v>
      </c>
      <c r="K112" s="174">
        <v>744.78947700000003</v>
      </c>
      <c r="L112" s="174">
        <v>804.27724599999999</v>
      </c>
      <c r="M112" s="174">
        <v>731.55021499999998</v>
      </c>
      <c r="N112" s="174">
        <v>733.95237899999995</v>
      </c>
      <c r="O112" s="174">
        <v>741.144363</v>
      </c>
      <c r="P112" s="174">
        <v>691.386799</v>
      </c>
      <c r="Q112" s="174">
        <v>724.54059900000004</v>
      </c>
      <c r="R112" s="174">
        <v>704.93682799999999</v>
      </c>
      <c r="S112" s="174">
        <v>707.88841100000002</v>
      </c>
      <c r="T112" s="174">
        <v>692.21298300000001</v>
      </c>
      <c r="U112" s="174">
        <v>759.70508099999995</v>
      </c>
      <c r="V112" s="174">
        <v>781.60241499999995</v>
      </c>
      <c r="W112" s="174">
        <v>736.92690100000004</v>
      </c>
      <c r="X112" s="174">
        <v>770.01149899999996</v>
      </c>
      <c r="Y112" s="174">
        <v>321.55749200000002</v>
      </c>
      <c r="Z112"/>
    </row>
    <row r="113" spans="1:26" ht="15">
      <c r="A113" s="212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802.59653400000002</v>
      </c>
      <c r="K113" s="174">
        <v>744.78947700000003</v>
      </c>
      <c r="L113" s="174">
        <v>804.27724599999999</v>
      </c>
      <c r="M113" s="174">
        <v>731.55021499999998</v>
      </c>
      <c r="N113" s="174">
        <v>733.95237899999995</v>
      </c>
      <c r="O113" s="174">
        <v>741.144363</v>
      </c>
      <c r="P113" s="174">
        <v>691.386799</v>
      </c>
      <c r="Q113" s="174">
        <v>724.54059900000004</v>
      </c>
      <c r="R113" s="174">
        <v>704.93682799999999</v>
      </c>
      <c r="S113" s="174">
        <v>707.88841100000002</v>
      </c>
      <c r="T113" s="174">
        <v>692.21298300000001</v>
      </c>
      <c r="U113" s="174">
        <v>759.70508099999995</v>
      </c>
      <c r="V113" s="174">
        <v>781.60241499999995</v>
      </c>
      <c r="W113" s="174">
        <v>736.92690100000004</v>
      </c>
      <c r="X113" s="174">
        <v>770.01149899999996</v>
      </c>
      <c r="Y113" s="174">
        <v>321.55749200000002</v>
      </c>
      <c r="Z113"/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octubre 2023</v>
      </c>
      <c r="D117" s="111" t="str">
        <f t="shared" ref="D117:M117" si="6">TEXT(EDATE(E117,-1),"mmmm aaaa")</f>
        <v>noviembre 2023</v>
      </c>
      <c r="E117" s="111" t="str">
        <f t="shared" si="6"/>
        <v>diciembre 2023</v>
      </c>
      <c r="F117" s="111" t="str">
        <f t="shared" si="6"/>
        <v>enero 2024</v>
      </c>
      <c r="G117" s="111" t="str">
        <f t="shared" si="6"/>
        <v>febrero 2024</v>
      </c>
      <c r="H117" s="111" t="str">
        <f t="shared" si="6"/>
        <v>marzo 2024</v>
      </c>
      <c r="I117" s="111" t="str">
        <f t="shared" si="6"/>
        <v>abril 2024</v>
      </c>
      <c r="J117" s="111" t="str">
        <f t="shared" si="6"/>
        <v>mayo 2024</v>
      </c>
      <c r="K117" s="111" t="str">
        <f t="shared" si="6"/>
        <v>junio 2024</v>
      </c>
      <c r="L117" s="111" t="str">
        <f t="shared" si="6"/>
        <v>julio 2024</v>
      </c>
      <c r="M117" s="111" t="str">
        <f t="shared" si="6"/>
        <v>agosto 2024</v>
      </c>
      <c r="N117" s="111" t="str">
        <f>TEXT(EDATE(O117,-1),"mmmm aaaa")</f>
        <v>septiembre 2024</v>
      </c>
      <c r="O117" s="112" t="str">
        <f>A2</f>
        <v>Octubre 2024</v>
      </c>
    </row>
    <row r="118" spans="1:26">
      <c r="B118" s="209"/>
      <c r="C118" s="121" t="str">
        <f>TEXT(EDATE($A$2,-12),"mmm")&amp;".-"&amp;TEXT(EDATE($A$2,-12),"aa")</f>
        <v>oct.-23</v>
      </c>
      <c r="D118" s="121" t="str">
        <f>TEXT(EDATE($A$2,-11),"mmm")&amp;".-"&amp;TEXT(EDATE($A$2,-11),"aa")</f>
        <v>nov.-23</v>
      </c>
      <c r="E118" s="121" t="str">
        <f>TEXT(EDATE($A$2,-10),"mmm")&amp;".-"&amp;TEXT(EDATE($A$2,-10),"aa")</f>
        <v>dic.-23</v>
      </c>
      <c r="F118" s="121" t="str">
        <f>TEXT(EDATE($A$2,-9),"mmm")&amp;".-"&amp;TEXT(EDATE($A$2,-9),"aa")</f>
        <v>ene.-24</v>
      </c>
      <c r="G118" s="121" t="str">
        <f>TEXT(EDATE($A$2,-8),"mmm")&amp;".-"&amp;TEXT(EDATE($A$2,-8),"aa")</f>
        <v>feb.-24</v>
      </c>
      <c r="H118" s="121" t="str">
        <f>TEXT(EDATE($A$2,-7),"mmm")&amp;".-"&amp;TEXT(EDATE($A$2,-7),"aa")</f>
        <v>mar.-24</v>
      </c>
      <c r="I118" s="121" t="str">
        <f>TEXT(EDATE($A$2,-6),"mmm")&amp;".-"&amp;TEXT(EDATE($A$2,-6),"aa")</f>
        <v>abr.-24</v>
      </c>
      <c r="J118" s="121" t="str">
        <f>TEXT(EDATE($A$2,-5),"mmm")&amp;".-"&amp;TEXT(EDATE($A$2,-5),"aa")</f>
        <v>may.-24</v>
      </c>
      <c r="K118" s="121" t="str">
        <f>TEXT(EDATE($A$2,-4),"mmm")&amp;".-"&amp;TEXT(EDATE($A$2,-4),"aa")</f>
        <v>jun.-24</v>
      </c>
      <c r="L118" s="121" t="str">
        <f>TEXT(EDATE($A$2,-3),"mmm")&amp;".-"&amp;TEXT(EDATE($A$2,-3),"aa")</f>
        <v>jul.-24</v>
      </c>
      <c r="M118" s="121" t="str">
        <f>TEXT(EDATE($A$2,-2),"mmm")&amp;".-"&amp;TEXT(EDATE($A$2,-2),"aa")</f>
        <v>ago.-24</v>
      </c>
      <c r="N118" s="121" t="str">
        <f>TEXT(EDATE($A$2,-1),"mmm")&amp;".-"&amp;TEXT(EDATE($A$2,-1),"aa")</f>
        <v>sep.-24</v>
      </c>
      <c r="O118" s="143" t="str">
        <f>TEXT($A$2,"mmm")&amp;".-"&amp;TEXT($A$2,"aa")</f>
        <v>oct.-24</v>
      </c>
    </row>
    <row r="119" spans="1:26">
      <c r="A119" s="205" t="s">
        <v>76</v>
      </c>
      <c r="B119" s="122" t="s">
        <v>11</v>
      </c>
      <c r="C119" s="123">
        <f>HLOOKUP(C$117,$86:$101,3,FALSE)</f>
        <v>-0.82724900000000001</v>
      </c>
      <c r="D119" s="123">
        <f t="shared" ref="D119:N119" si="7">HLOOKUP(D$117,$86:$101,3,FALSE)</f>
        <v>-0.89542500000000003</v>
      </c>
      <c r="E119" s="123">
        <f t="shared" si="7"/>
        <v>-0.69586499999999996</v>
      </c>
      <c r="F119" s="123">
        <f t="shared" si="7"/>
        <v>-0.70605399999999996</v>
      </c>
      <c r="G119" s="123">
        <f t="shared" si="7"/>
        <v>-0.66276199999999996</v>
      </c>
      <c r="H119" s="123">
        <f t="shared" si="7"/>
        <v>-0.710283</v>
      </c>
      <c r="I119" s="123">
        <f t="shared" si="7"/>
        <v>-0.939218</v>
      </c>
      <c r="J119" s="123">
        <f t="shared" si="7"/>
        <v>22.073955999999999</v>
      </c>
      <c r="K119" s="123">
        <f t="shared" si="7"/>
        <v>26.418958</v>
      </c>
      <c r="L119" s="123">
        <f t="shared" si="7"/>
        <v>1.554179</v>
      </c>
      <c r="M119" s="123">
        <f t="shared" si="7"/>
        <v>-0.75178999999999996</v>
      </c>
      <c r="N119" s="123">
        <f t="shared" si="7"/>
        <v>-0.70974400000000004</v>
      </c>
      <c r="O119" s="124">
        <f>HLOOKUP(O$117,$86:$101,3,FALSE)</f>
        <v>-0.68802799999999997</v>
      </c>
    </row>
    <row r="120" spans="1:26">
      <c r="A120" s="206"/>
      <c r="B120" s="105" t="s">
        <v>10</v>
      </c>
      <c r="C120" s="107">
        <f>HLOOKUP(C$117,$86:$101,4,FALSE)</f>
        <v>16.979832999999999</v>
      </c>
      <c r="D120" s="107">
        <f t="shared" ref="D120:O120" si="8">HLOOKUP(D$117,$86:$101,4,FALSE)</f>
        <v>5.9974980000000002</v>
      </c>
      <c r="E120" s="107">
        <f t="shared" si="8"/>
        <v>6.2655310000000002</v>
      </c>
      <c r="F120" s="107">
        <f t="shared" si="8"/>
        <v>5.2892989999999998</v>
      </c>
      <c r="G120" s="107">
        <f t="shared" si="8"/>
        <v>4.8235140000000003</v>
      </c>
      <c r="H120" s="107">
        <f t="shared" si="8"/>
        <v>5.4357850000000001</v>
      </c>
      <c r="I120" s="107">
        <f t="shared" si="8"/>
        <v>18.212437000000001</v>
      </c>
      <c r="J120" s="107">
        <f t="shared" si="8"/>
        <v>11.891016</v>
      </c>
      <c r="K120" s="107">
        <f t="shared" si="8"/>
        <v>17.869899</v>
      </c>
      <c r="L120" s="107">
        <f t="shared" si="8"/>
        <v>51.149709999999999</v>
      </c>
      <c r="M120" s="107">
        <f t="shared" si="8"/>
        <v>62.806652999999997</v>
      </c>
      <c r="N120" s="107">
        <f t="shared" si="8"/>
        <v>36.525360999999997</v>
      </c>
      <c r="O120" s="124">
        <f t="shared" si="8"/>
        <v>24.545518999999999</v>
      </c>
    </row>
    <row r="121" spans="1:26">
      <c r="A121" s="206"/>
      <c r="B121" s="105" t="s">
        <v>9</v>
      </c>
      <c r="C121" s="107">
        <f>HLOOKUP(C$117,$86:$101,5,FALSE)</f>
        <v>44.274278000000002</v>
      </c>
      <c r="D121" s="107">
        <f t="shared" ref="D121:O121" si="9">HLOOKUP(D$117,$86:$101,5,FALSE)</f>
        <v>24.187601999999998</v>
      </c>
      <c r="E121" s="107">
        <f t="shared" si="9"/>
        <v>22.604486999999999</v>
      </c>
      <c r="F121" s="107">
        <f t="shared" si="9"/>
        <v>25.154277</v>
      </c>
      <c r="G121" s="107">
        <f t="shared" si="9"/>
        <v>23.798262999999999</v>
      </c>
      <c r="H121" s="107">
        <f t="shared" si="9"/>
        <v>24.938551</v>
      </c>
      <c r="I121" s="107">
        <f t="shared" si="9"/>
        <v>29.498771000000001</v>
      </c>
      <c r="J121" s="107">
        <f t="shared" si="9"/>
        <v>29.400922999999999</v>
      </c>
      <c r="K121" s="107">
        <f t="shared" si="9"/>
        <v>43.333288000000003</v>
      </c>
      <c r="L121" s="107">
        <f t="shared" si="9"/>
        <v>52.282953999999997</v>
      </c>
      <c r="M121" s="107">
        <f t="shared" si="9"/>
        <v>57.566750999999996</v>
      </c>
      <c r="N121" s="107">
        <f t="shared" si="9"/>
        <v>36.281736000000002</v>
      </c>
      <c r="O121" s="124">
        <f t="shared" si="9"/>
        <v>40.584831000000001</v>
      </c>
    </row>
    <row r="122" spans="1:26" ht="14.25">
      <c r="A122" s="206"/>
      <c r="B122" s="105" t="s">
        <v>74</v>
      </c>
      <c r="C122" s="107">
        <f>HLOOKUP(C$117,$86:$101,6,FALSE)</f>
        <v>247.112684</v>
      </c>
      <c r="D122" s="107">
        <f t="shared" ref="D122:O122" si="10">HLOOKUP(D$117,$86:$101,6,FALSE)</f>
        <v>224.26124200000001</v>
      </c>
      <c r="E122" s="107">
        <f t="shared" si="10"/>
        <v>233.91494</v>
      </c>
      <c r="F122" s="107">
        <f t="shared" si="10"/>
        <v>244.02029300000001</v>
      </c>
      <c r="G122" s="107">
        <f t="shared" si="10"/>
        <v>218.49136100000001</v>
      </c>
      <c r="H122" s="107">
        <f t="shared" si="10"/>
        <v>213.548517</v>
      </c>
      <c r="I122" s="107">
        <f t="shared" si="10"/>
        <v>205.68247400000001</v>
      </c>
      <c r="J122" s="107">
        <f t="shared" si="10"/>
        <v>206.763338</v>
      </c>
      <c r="K122" s="107">
        <f t="shared" si="10"/>
        <v>212.499032</v>
      </c>
      <c r="L122" s="107">
        <f t="shared" si="10"/>
        <v>272.94692199999997</v>
      </c>
      <c r="M122" s="107">
        <f t="shared" si="10"/>
        <v>333.50170400000002</v>
      </c>
      <c r="N122" s="107">
        <f t="shared" si="10"/>
        <v>245.22935200000001</v>
      </c>
      <c r="O122" s="124">
        <f t="shared" si="10"/>
        <v>232.50510600000001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1.0359999999999999E-2</v>
      </c>
      <c r="D124" s="107">
        <f t="shared" ref="D124:O124" si="12">HLOOKUP(D$117,$86:$102,8,FALSE)</f>
        <v>8.7279999999999996E-3</v>
      </c>
      <c r="E124" s="107">
        <f t="shared" si="12"/>
        <v>0</v>
      </c>
      <c r="F124" s="107">
        <f t="shared" si="12"/>
        <v>0</v>
      </c>
      <c r="G124" s="107">
        <f t="shared" si="12"/>
        <v>0</v>
      </c>
      <c r="H124" s="107">
        <f t="shared" si="12"/>
        <v>0</v>
      </c>
      <c r="I124" s="107">
        <f t="shared" si="12"/>
        <v>0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6"/>
      <c r="B125" s="105" t="s">
        <v>4</v>
      </c>
      <c r="C125" s="107">
        <f>HLOOKUP(C$117,$86:$102,9,FALSE)</f>
        <v>33.267043999999999</v>
      </c>
      <c r="D125" s="107">
        <f t="shared" ref="D125:O125" si="13">HLOOKUP(D$117,$86:$102,9,FALSE)</f>
        <v>25.444734</v>
      </c>
      <c r="E125" s="107">
        <f t="shared" si="13"/>
        <v>23.146239000000001</v>
      </c>
      <c r="F125" s="107">
        <f t="shared" si="13"/>
        <v>24.18449</v>
      </c>
      <c r="G125" s="107">
        <f t="shared" si="13"/>
        <v>30.778489</v>
      </c>
      <c r="H125" s="107">
        <f t="shared" si="13"/>
        <v>45.320208999999998</v>
      </c>
      <c r="I125" s="107">
        <f t="shared" si="13"/>
        <v>44.568354999999997</v>
      </c>
      <c r="J125" s="107">
        <f t="shared" si="13"/>
        <v>58.305483000000002</v>
      </c>
      <c r="K125" s="107">
        <f t="shared" si="13"/>
        <v>53.291172000000003</v>
      </c>
      <c r="L125" s="107">
        <f t="shared" si="13"/>
        <v>60.161617</v>
      </c>
      <c r="M125" s="107">
        <f t="shared" si="13"/>
        <v>55.457568000000002</v>
      </c>
      <c r="N125" s="107">
        <f t="shared" si="13"/>
        <v>43.998761999999999</v>
      </c>
      <c r="O125" s="124">
        <f t="shared" si="13"/>
        <v>38.838658000000002</v>
      </c>
    </row>
    <row r="126" spans="1:26">
      <c r="A126" s="206"/>
      <c r="B126" s="113" t="s">
        <v>22</v>
      </c>
      <c r="C126" s="107">
        <f>HLOOKUP(C$117,$86:$102,10,FALSE)</f>
        <v>0.14801500000000001</v>
      </c>
      <c r="D126" s="107">
        <f t="shared" ref="D126:O126" si="14">HLOOKUP(D$117,$86:$102,10,FALSE)</f>
        <v>0.14354</v>
      </c>
      <c r="E126" s="107">
        <f t="shared" si="14"/>
        <v>0.12625700000000001</v>
      </c>
      <c r="F126" s="107">
        <f t="shared" si="14"/>
        <v>0.10423</v>
      </c>
      <c r="G126" s="107">
        <f t="shared" si="14"/>
        <v>3.9530000000000003E-2</v>
      </c>
      <c r="H126" s="107">
        <f t="shared" si="14"/>
        <v>4.0002000000000003E-2</v>
      </c>
      <c r="I126" s="107">
        <f t="shared" si="14"/>
        <v>1.5544000000000001E-2</v>
      </c>
      <c r="J126" s="107">
        <f t="shared" si="14"/>
        <v>4.1384999999999998E-2</v>
      </c>
      <c r="K126" s="107">
        <f t="shared" si="14"/>
        <v>7.8099000000000002E-2</v>
      </c>
      <c r="L126" s="107">
        <f t="shared" si="14"/>
        <v>0.18402499999999999</v>
      </c>
      <c r="M126" s="107">
        <f t="shared" si="14"/>
        <v>0.28992600000000002</v>
      </c>
      <c r="N126" s="107">
        <f t="shared" si="14"/>
        <v>0.364813</v>
      </c>
      <c r="O126" s="124">
        <f t="shared" si="14"/>
        <v>0.34994999999999998</v>
      </c>
    </row>
    <row r="127" spans="1:26">
      <c r="A127" s="206"/>
      <c r="B127" s="113" t="s">
        <v>23</v>
      </c>
      <c r="C127" s="107">
        <f>HLOOKUP(C$117,$86:$102,11,FALSE)</f>
        <v>1.6210690000000001</v>
      </c>
      <c r="D127" s="107">
        <f t="shared" ref="D127:O127" si="15">HLOOKUP(D$117,$86:$102,11,FALSE)</f>
        <v>1.996553</v>
      </c>
      <c r="E127" s="107">
        <f t="shared" si="15"/>
        <v>3.1565249999999998</v>
      </c>
      <c r="F127" s="107">
        <f t="shared" si="15"/>
        <v>3.9370180000000001</v>
      </c>
      <c r="G127" s="107">
        <f t="shared" si="15"/>
        <v>3.7397490000000002</v>
      </c>
      <c r="H127" s="107">
        <f t="shared" si="15"/>
        <v>3.4851179999999999</v>
      </c>
      <c r="I127" s="107">
        <f t="shared" si="15"/>
        <v>1.9095409999999999</v>
      </c>
      <c r="J127" s="107">
        <f t="shared" si="15"/>
        <v>3.5397620000000001</v>
      </c>
      <c r="K127" s="107">
        <f t="shared" si="15"/>
        <v>3.4609559999999999</v>
      </c>
      <c r="L127" s="107">
        <f t="shared" si="15"/>
        <v>3.2774670000000001</v>
      </c>
      <c r="M127" s="107">
        <f t="shared" si="15"/>
        <v>3.1243509999999999</v>
      </c>
      <c r="N127" s="107">
        <f t="shared" si="15"/>
        <v>2.778902</v>
      </c>
      <c r="O127" s="124">
        <f t="shared" si="15"/>
        <v>2.2852030000000001</v>
      </c>
    </row>
    <row r="128" spans="1:26">
      <c r="A128" s="206"/>
      <c r="B128" s="105" t="s">
        <v>55</v>
      </c>
      <c r="C128" s="107">
        <f t="shared" ref="C128:O128" si="16">HLOOKUP(C$117,$86:$102,13,FALSE)</f>
        <v>10.861402</v>
      </c>
      <c r="D128" s="107">
        <f t="shared" si="16"/>
        <v>10.810193999999999</v>
      </c>
      <c r="E128" s="107">
        <f t="shared" si="16"/>
        <v>8.9918355000000005</v>
      </c>
      <c r="F128" s="107">
        <f t="shared" si="16"/>
        <v>10.485035</v>
      </c>
      <c r="G128" s="107">
        <f t="shared" si="16"/>
        <v>5.6085469999999997</v>
      </c>
      <c r="H128" s="107">
        <f t="shared" si="16"/>
        <v>12.829401000000001</v>
      </c>
      <c r="I128" s="107">
        <f t="shared" si="16"/>
        <v>11.323399</v>
      </c>
      <c r="J128" s="107">
        <f t="shared" si="16"/>
        <v>12.2750895</v>
      </c>
      <c r="K128" s="107">
        <f t="shared" si="16"/>
        <v>16.584269500000001</v>
      </c>
      <c r="L128" s="107">
        <f t="shared" si="16"/>
        <v>15.726691000000001</v>
      </c>
      <c r="M128" s="107">
        <f t="shared" si="16"/>
        <v>15.578734000000001</v>
      </c>
      <c r="N128" s="107">
        <f t="shared" si="16"/>
        <v>14.1961285</v>
      </c>
      <c r="O128" s="124">
        <f t="shared" si="16"/>
        <v>9.2427220000000005</v>
      </c>
    </row>
    <row r="129" spans="1:15">
      <c r="A129" s="206"/>
      <c r="B129" s="105" t="s">
        <v>54</v>
      </c>
      <c r="C129" s="107">
        <f>HLOOKUP(C$117,$86:$102,12,FALSE)</f>
        <v>10.861402</v>
      </c>
      <c r="D129" s="107">
        <f t="shared" ref="D129:O129" si="17">HLOOKUP(D$117,$86:$102,12,FALSE)</f>
        <v>10.810193999999999</v>
      </c>
      <c r="E129" s="107">
        <f t="shared" si="17"/>
        <v>8.9918355000000005</v>
      </c>
      <c r="F129" s="107">
        <f t="shared" si="17"/>
        <v>10.485035</v>
      </c>
      <c r="G129" s="107">
        <f t="shared" si="17"/>
        <v>5.6085469999999997</v>
      </c>
      <c r="H129" s="107">
        <f t="shared" si="17"/>
        <v>12.829401000000001</v>
      </c>
      <c r="I129" s="107">
        <f t="shared" si="17"/>
        <v>11.323399</v>
      </c>
      <c r="J129" s="107">
        <f t="shared" si="17"/>
        <v>12.2750895</v>
      </c>
      <c r="K129" s="107">
        <f t="shared" si="17"/>
        <v>16.584269500000001</v>
      </c>
      <c r="L129" s="107">
        <f t="shared" si="17"/>
        <v>15.726691000000001</v>
      </c>
      <c r="M129" s="107">
        <f t="shared" si="17"/>
        <v>15.578734000000001</v>
      </c>
      <c r="N129" s="107">
        <f t="shared" si="17"/>
        <v>14.1961285</v>
      </c>
      <c r="O129" s="124">
        <f t="shared" si="17"/>
        <v>9.2427220000000005</v>
      </c>
    </row>
    <row r="130" spans="1:15">
      <c r="A130" s="206"/>
      <c r="B130" s="114" t="s">
        <v>2</v>
      </c>
      <c r="C130" s="115">
        <f>HLOOKUP(C$117,$86:$102,14,FALSE)</f>
        <v>364.30883799999998</v>
      </c>
      <c r="D130" s="115">
        <f t="shared" ref="D130:O130" si="18">HLOOKUP(D$117,$86:$102,14,FALSE)</f>
        <v>302.76486</v>
      </c>
      <c r="E130" s="115">
        <f t="shared" si="18"/>
        <v>306.50178499999998</v>
      </c>
      <c r="F130" s="115">
        <f t="shared" si="18"/>
        <v>322.95362299999999</v>
      </c>
      <c r="G130" s="115">
        <f t="shared" si="18"/>
        <v>292.22523799999999</v>
      </c>
      <c r="H130" s="115">
        <f t="shared" si="18"/>
        <v>317.716701</v>
      </c>
      <c r="I130" s="115">
        <f t="shared" si="18"/>
        <v>321.59470199999998</v>
      </c>
      <c r="J130" s="115">
        <f t="shared" si="18"/>
        <v>356.56604199999998</v>
      </c>
      <c r="K130" s="115">
        <f t="shared" si="18"/>
        <v>390.11994299999998</v>
      </c>
      <c r="L130" s="115">
        <f t="shared" si="18"/>
        <v>473.01025600000003</v>
      </c>
      <c r="M130" s="115">
        <f t="shared" si="18"/>
        <v>543.15263100000004</v>
      </c>
      <c r="N130" s="115">
        <f t="shared" si="18"/>
        <v>392.86143900000002</v>
      </c>
      <c r="O130" s="125">
        <f t="shared" si="18"/>
        <v>356.90668299999999</v>
      </c>
    </row>
    <row r="131" spans="1:15">
      <c r="A131" s="206"/>
      <c r="B131" s="105" t="s">
        <v>21</v>
      </c>
      <c r="C131" s="116">
        <f>HLOOKUP(C$117,$86:$102,15,FALSE)</f>
        <v>131.44748999999999</v>
      </c>
      <c r="D131" s="116">
        <f t="shared" ref="D131:O131" si="19">HLOOKUP(D$117,$86:$102,15,FALSE)</f>
        <v>70.735690000000005</v>
      </c>
      <c r="E131" s="116">
        <f t="shared" si="19"/>
        <v>112.440268</v>
      </c>
      <c r="F131" s="116">
        <f t="shared" si="19"/>
        <v>122.760274</v>
      </c>
      <c r="G131" s="116">
        <f t="shared" si="19"/>
        <v>114.74408200000001</v>
      </c>
      <c r="H131" s="116">
        <f t="shared" si="19"/>
        <v>110.667727</v>
      </c>
      <c r="I131" s="116">
        <f t="shared" si="19"/>
        <v>109.36235000000001</v>
      </c>
      <c r="J131" s="116">
        <f t="shared" si="19"/>
        <v>117.764884</v>
      </c>
      <c r="K131" s="116">
        <f t="shared" si="19"/>
        <v>145.36358899999999</v>
      </c>
      <c r="L131" s="116">
        <f t="shared" si="19"/>
        <v>208.454387</v>
      </c>
      <c r="M131" s="116">
        <f t="shared" si="19"/>
        <v>187.956546</v>
      </c>
      <c r="N131" s="116">
        <f t="shared" si="19"/>
        <v>162.00915900000001</v>
      </c>
      <c r="O131" s="116">
        <f t="shared" si="19"/>
        <v>144.54443599999999</v>
      </c>
    </row>
    <row r="132" spans="1:15">
      <c r="A132" s="206"/>
      <c r="B132" s="117" t="s">
        <v>1</v>
      </c>
      <c r="C132" s="118">
        <f>HLOOKUP(C$117,$86:$102,16,FALSE)</f>
        <v>495.756328</v>
      </c>
      <c r="D132" s="118">
        <f t="shared" ref="D132:O132" si="20">HLOOKUP(D$117,$86:$102,16,FALSE)</f>
        <v>373.50054999999998</v>
      </c>
      <c r="E132" s="118">
        <f t="shared" si="20"/>
        <v>418.94205299999999</v>
      </c>
      <c r="F132" s="118">
        <f t="shared" si="20"/>
        <v>445.71389699999997</v>
      </c>
      <c r="G132" s="118">
        <f t="shared" si="20"/>
        <v>406.96931999999998</v>
      </c>
      <c r="H132" s="118">
        <f t="shared" si="20"/>
        <v>428.38442800000001</v>
      </c>
      <c r="I132" s="118">
        <f t="shared" si="20"/>
        <v>430.95705199999998</v>
      </c>
      <c r="J132" s="118">
        <f t="shared" si="20"/>
        <v>474.33092599999998</v>
      </c>
      <c r="K132" s="118">
        <f t="shared" si="20"/>
        <v>535.48353199999997</v>
      </c>
      <c r="L132" s="118">
        <f t="shared" si="20"/>
        <v>681.46464300000002</v>
      </c>
      <c r="M132" s="118">
        <f t="shared" si="20"/>
        <v>731.10917700000005</v>
      </c>
      <c r="N132" s="118">
        <f t="shared" si="20"/>
        <v>554.87059799999997</v>
      </c>
      <c r="O132" s="118">
        <f t="shared" si="20"/>
        <v>501.45111900000001</v>
      </c>
    </row>
    <row r="133" spans="1:15" ht="14.25">
      <c r="A133" s="207"/>
      <c r="B133" s="126" t="s">
        <v>75</v>
      </c>
      <c r="C133" s="127">
        <f>C120+C121+C123</f>
        <v>61.254111000000002</v>
      </c>
      <c r="D133" s="127">
        <f>D120+D121+D123</f>
        <v>30.185099999999998</v>
      </c>
      <c r="E133" s="127">
        <f t="shared" ref="E133:O133" si="21">E120+E121+E123</f>
        <v>28.870017999999998</v>
      </c>
      <c r="F133" s="127">
        <f t="shared" si="21"/>
        <v>30.443576</v>
      </c>
      <c r="G133" s="127">
        <f t="shared" si="21"/>
        <v>28.621776999999998</v>
      </c>
      <c r="H133" s="127">
        <f t="shared" si="21"/>
        <v>30.374336</v>
      </c>
      <c r="I133" s="127">
        <f t="shared" si="21"/>
        <v>47.711207999999999</v>
      </c>
      <c r="J133" s="127">
        <f t="shared" si="21"/>
        <v>41.291938999999999</v>
      </c>
      <c r="K133" s="127">
        <f t="shared" si="21"/>
        <v>61.203187</v>
      </c>
      <c r="L133" s="127">
        <f t="shared" si="21"/>
        <v>103.43266399999999</v>
      </c>
      <c r="M133" s="127">
        <f t="shared" si="21"/>
        <v>120.37340399999999</v>
      </c>
      <c r="N133" s="127">
        <f t="shared" si="21"/>
        <v>72.807096999999999</v>
      </c>
      <c r="O133" s="127">
        <f t="shared" si="21"/>
        <v>65.130349999999993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oct.-23</v>
      </c>
      <c r="D134" s="111" t="str">
        <f>TEXT(EDATE($A$2,-11),"mmm")&amp;".-"&amp;TEXT(EDATE($A$2,-11),"aa")</f>
        <v>nov.-23</v>
      </c>
      <c r="E134" s="111" t="str">
        <f>TEXT(EDATE($A$2,-10),"mmm")&amp;".-"&amp;TEXT(EDATE($A$2,-10),"aa")</f>
        <v>dic.-23</v>
      </c>
      <c r="F134" s="111" t="str">
        <f>TEXT(EDATE($A$2,-9),"mmm")&amp;".-"&amp;TEXT(EDATE($A$2,-9),"aa")</f>
        <v>ene.-24</v>
      </c>
      <c r="G134" s="111" t="str">
        <f>TEXT(EDATE($A$2,-8),"mmm")&amp;".-"&amp;TEXT(EDATE($A$2,-8),"aa")</f>
        <v>feb.-24</v>
      </c>
      <c r="H134" s="111" t="str">
        <f>TEXT(EDATE($A$2,-7),"mmm")&amp;".-"&amp;TEXT(EDATE($A$2,-7),"aa")</f>
        <v>mar.-24</v>
      </c>
      <c r="I134" s="111" t="str">
        <f>TEXT(EDATE($A$2,-6),"mmm")&amp;".-"&amp;TEXT(EDATE($A$2,-6),"aa")</f>
        <v>abr.-24</v>
      </c>
      <c r="J134" s="111" t="str">
        <f>TEXT(EDATE($A$2,-5),"mmm")&amp;".-"&amp;TEXT(EDATE($A$2,-5),"aa")</f>
        <v>may.-24</v>
      </c>
      <c r="K134" s="111" t="str">
        <f>TEXT(EDATE($A$2,-4),"mmm")&amp;".-"&amp;TEXT(EDATE($A$2,-4),"aa")</f>
        <v>jun.-24</v>
      </c>
      <c r="L134" s="111" t="str">
        <f>TEXT(EDATE($A$2,-3),"mmm")&amp;".-"&amp;TEXT(EDATE($A$2,-3),"aa")</f>
        <v>jul.-24</v>
      </c>
      <c r="M134" s="111" t="str">
        <f>TEXT(EDATE($A$2,-2),"mmm")&amp;".-"&amp;TEXT(EDATE($A$2,-2),"aa")</f>
        <v>ago.-24</v>
      </c>
      <c r="N134" s="111" t="str">
        <f>TEXT(EDATE($A$2,-1),"mmm")&amp;".-"&amp;TEXT(EDATE($A$2,-1),"aa")</f>
        <v>sep.-24</v>
      </c>
      <c r="O134" s="112" t="str">
        <f>TEXT($A$2,"mmm")&amp;".-"&amp;TEXT($A$2,"aa")</f>
        <v>oct.-24</v>
      </c>
    </row>
    <row r="135" spans="1:15" ht="15" customHeight="1">
      <c r="A135" s="206"/>
      <c r="B135" s="105" t="s">
        <v>12</v>
      </c>
      <c r="C135" s="107">
        <f>HLOOKUP(C$117,$86:$115,17,FALSE)</f>
        <v>0.30332900000000002</v>
      </c>
      <c r="D135" s="107">
        <f t="shared" ref="D135:N135" si="22">HLOOKUP(D$117,$86:$115,17,FALSE)</f>
        <v>0.28045300000000001</v>
      </c>
      <c r="E135" s="107">
        <f t="shared" si="22"/>
        <v>0.30560300000000001</v>
      </c>
      <c r="F135" s="107">
        <f t="shared" si="22"/>
        <v>0.29624200000000001</v>
      </c>
      <c r="G135" s="107">
        <f t="shared" si="22"/>
        <v>0.28508299999999998</v>
      </c>
      <c r="H135" s="107">
        <f t="shared" si="22"/>
        <v>0.272924</v>
      </c>
      <c r="I135" s="107">
        <f t="shared" si="22"/>
        <v>0.258407</v>
      </c>
      <c r="J135" s="107">
        <f t="shared" si="22"/>
        <v>0.28213199999999999</v>
      </c>
      <c r="K135" s="107">
        <f t="shared" si="22"/>
        <v>0.27541500000000002</v>
      </c>
      <c r="L135" s="107">
        <f t="shared" si="22"/>
        <v>0.290603</v>
      </c>
      <c r="M135" s="107">
        <f t="shared" si="22"/>
        <v>0.28181699999999998</v>
      </c>
      <c r="N135" s="107">
        <f t="shared" si="22"/>
        <v>0.27621200000000001</v>
      </c>
      <c r="O135" s="144">
        <f>HLOOKUP(O$117,$86:$115,17,FALSE)</f>
        <v>0.29845300000000002</v>
      </c>
    </row>
    <row r="136" spans="1:15">
      <c r="A136" s="206"/>
      <c r="B136" s="105" t="s">
        <v>10</v>
      </c>
      <c r="C136" s="107">
        <f>HLOOKUP(C$117,$86:$115,18,FALSE)+HLOOKUP(C$117,$86:$115,22,FALSE)</f>
        <v>179.45008000000001</v>
      </c>
      <c r="D136" s="107">
        <f>HLOOKUP(D$117,$86:$115,18,FALSE)+HLOOKUP(D$117,$86:$115,22,FALSE)</f>
        <v>168.21234899999999</v>
      </c>
      <c r="E136" s="107">
        <f t="shared" ref="E136:N136" si="23">HLOOKUP(E$117,$86:$115,18,FALSE)+HLOOKUP(E$117,$86:$115,22,FALSE)</f>
        <v>171.03571600000001</v>
      </c>
      <c r="F136" s="107">
        <f t="shared" si="23"/>
        <v>166.77709300000001</v>
      </c>
      <c r="G136" s="107">
        <f t="shared" si="23"/>
        <v>147.58979299999999</v>
      </c>
      <c r="H136" s="107">
        <f t="shared" si="23"/>
        <v>156.05254400000001</v>
      </c>
      <c r="I136" s="107">
        <f t="shared" si="23"/>
        <v>143.99597600000001</v>
      </c>
      <c r="J136" s="107">
        <f t="shared" si="23"/>
        <v>142.89773500000001</v>
      </c>
      <c r="K136" s="107">
        <f t="shared" si="23"/>
        <v>147.24789200000001</v>
      </c>
      <c r="L136" s="107">
        <f t="shared" si="23"/>
        <v>156.974729</v>
      </c>
      <c r="M136" s="107">
        <f t="shared" si="23"/>
        <v>149.168069</v>
      </c>
      <c r="N136" s="107">
        <f t="shared" si="23"/>
        <v>154.83455499999999</v>
      </c>
      <c r="O136" s="124">
        <f>HLOOKUP(O$117,$86:$115,18,FALSE)+HLOOKUP(O$117,$86:$115,22,FALSE)</f>
        <v>157.66511800000001</v>
      </c>
    </row>
    <row r="137" spans="1:15">
      <c r="A137" s="206"/>
      <c r="B137" s="105" t="s">
        <v>9</v>
      </c>
      <c r="C137" s="107">
        <f>HLOOKUP(C$117,$86:$115,19,FALSE)</f>
        <v>30.707764999999998</v>
      </c>
      <c r="D137" s="107">
        <f t="shared" ref="D137:O137" si="24">HLOOKUP(D$117,$86:$115,19,FALSE)</f>
        <v>24.331886999999998</v>
      </c>
      <c r="E137" s="107">
        <f t="shared" si="24"/>
        <v>26.447642999999999</v>
      </c>
      <c r="F137" s="107">
        <f t="shared" si="24"/>
        <v>28.032011000000001</v>
      </c>
      <c r="G137" s="107">
        <f t="shared" si="24"/>
        <v>23.301389</v>
      </c>
      <c r="H137" s="107">
        <f t="shared" si="24"/>
        <v>22.780221000000001</v>
      </c>
      <c r="I137" s="107">
        <f t="shared" si="24"/>
        <v>15.018001</v>
      </c>
      <c r="J137" s="107">
        <f t="shared" si="24"/>
        <v>13.174446</v>
      </c>
      <c r="K137" s="107">
        <f t="shared" si="24"/>
        <v>26.579124</v>
      </c>
      <c r="L137" s="107">
        <f t="shared" si="24"/>
        <v>16.279032000000001</v>
      </c>
      <c r="M137" s="107">
        <f t="shared" si="24"/>
        <v>15.569345999999999</v>
      </c>
      <c r="N137" s="107">
        <f t="shared" si="24"/>
        <v>24.246791000000002</v>
      </c>
      <c r="O137" s="124">
        <f t="shared" si="24"/>
        <v>16.089413</v>
      </c>
    </row>
    <row r="138" spans="1:15">
      <c r="A138" s="206"/>
      <c r="B138" s="105" t="s">
        <v>8</v>
      </c>
      <c r="C138" s="107">
        <f>HLOOKUP(C$117,$86:$115,20,FALSE)</f>
        <v>119.677701</v>
      </c>
      <c r="D138" s="107">
        <f t="shared" ref="D138:O138" si="25">HLOOKUP(D$117,$86:$115,20,FALSE)</f>
        <v>90.916317000000006</v>
      </c>
      <c r="E138" s="107">
        <f t="shared" si="25"/>
        <v>96.450059999999993</v>
      </c>
      <c r="F138" s="107">
        <f t="shared" si="25"/>
        <v>118.36447</v>
      </c>
      <c r="G138" s="107">
        <f t="shared" si="25"/>
        <v>100.186932</v>
      </c>
      <c r="H138" s="107">
        <f t="shared" si="25"/>
        <v>116.04889799999999</v>
      </c>
      <c r="I138" s="107">
        <f t="shared" si="25"/>
        <v>98.285223000000002</v>
      </c>
      <c r="J138" s="107">
        <f t="shared" si="25"/>
        <v>106.53814</v>
      </c>
      <c r="K138" s="107">
        <f t="shared" si="25"/>
        <v>79.128829999999994</v>
      </c>
      <c r="L138" s="107">
        <f t="shared" si="25"/>
        <v>105.68064699999999</v>
      </c>
      <c r="M138" s="107">
        <f t="shared" si="25"/>
        <v>101.50272699999999</v>
      </c>
      <c r="N138" s="107">
        <f t="shared" si="25"/>
        <v>73.604264000000001</v>
      </c>
      <c r="O138" s="124">
        <f t="shared" si="25"/>
        <v>85.936983999999995</v>
      </c>
    </row>
    <row r="139" spans="1:15" ht="14.25">
      <c r="A139" s="206"/>
      <c r="B139" s="105" t="s">
        <v>74</v>
      </c>
      <c r="C139" s="107">
        <f>HLOOKUP(C$117,$86:$115,21,FALSE)</f>
        <v>385.37423100000001</v>
      </c>
      <c r="D139" s="107">
        <f t="shared" ref="D139:O139" si="26">HLOOKUP(D$117,$86:$115,21,FALSE)</f>
        <v>320.60776499999997</v>
      </c>
      <c r="E139" s="107">
        <f t="shared" si="26"/>
        <v>343.70541600000001</v>
      </c>
      <c r="F139" s="107">
        <f t="shared" si="26"/>
        <v>348.60822999999999</v>
      </c>
      <c r="G139" s="107">
        <f t="shared" si="26"/>
        <v>282.95672999999999</v>
      </c>
      <c r="H139" s="107">
        <f t="shared" si="26"/>
        <v>305.966994</v>
      </c>
      <c r="I139" s="107">
        <f t="shared" si="26"/>
        <v>315.19474500000001</v>
      </c>
      <c r="J139" s="107">
        <f t="shared" si="26"/>
        <v>259.74817300000001</v>
      </c>
      <c r="K139" s="107">
        <f t="shared" si="26"/>
        <v>269.75380799999999</v>
      </c>
      <c r="L139" s="107">
        <f t="shared" si="26"/>
        <v>264.109264</v>
      </c>
      <c r="M139" s="107">
        <f t="shared" si="26"/>
        <v>258.28017799999998</v>
      </c>
      <c r="N139" s="107">
        <f t="shared" si="26"/>
        <v>294.563964</v>
      </c>
      <c r="O139" s="124">
        <f t="shared" si="26"/>
        <v>354.061463</v>
      </c>
    </row>
    <row r="140" spans="1:15">
      <c r="A140" s="206"/>
      <c r="B140" s="105" t="s">
        <v>6</v>
      </c>
      <c r="C140" s="107">
        <f>HLOOKUP(C$117,$86:$115,23,FALSE)</f>
        <v>0.44324000000000002</v>
      </c>
      <c r="D140" s="107">
        <f t="shared" ref="D140:O140" si="27">HLOOKUP(D$117,$86:$115,23,FALSE)</f>
        <v>1.0899650000000001</v>
      </c>
      <c r="E140" s="107">
        <f t="shared" si="27"/>
        <v>0.66913</v>
      </c>
      <c r="F140" s="107">
        <f t="shared" si="27"/>
        <v>0.66808100000000004</v>
      </c>
      <c r="G140" s="107">
        <f t="shared" si="27"/>
        <v>1.414679</v>
      </c>
      <c r="H140" s="107">
        <f t="shared" si="27"/>
        <v>1.5891550000000001</v>
      </c>
      <c r="I140" s="107">
        <f t="shared" si="27"/>
        <v>1.2945469999999999</v>
      </c>
      <c r="J140" s="107">
        <f t="shared" si="27"/>
        <v>2.2523740000000001</v>
      </c>
      <c r="K140" s="107">
        <f t="shared" si="27"/>
        <v>2.6292490000000002</v>
      </c>
      <c r="L140" s="107">
        <f t="shared" si="27"/>
        <v>3.5113029999999998</v>
      </c>
      <c r="M140" s="107">
        <f t="shared" si="27"/>
        <v>3.975784</v>
      </c>
      <c r="N140" s="107">
        <f t="shared" si="27"/>
        <v>2.2682389999999999</v>
      </c>
      <c r="O140" s="124">
        <f t="shared" si="27"/>
        <v>1.839432</v>
      </c>
    </row>
    <row r="141" spans="1:15">
      <c r="A141" s="206"/>
      <c r="B141" s="105" t="s">
        <v>5</v>
      </c>
      <c r="C141" s="107">
        <f>HLOOKUP(C$117,$86:$115,24,FALSE)</f>
        <v>57.760657000000002</v>
      </c>
      <c r="D141" s="107">
        <f t="shared" ref="D141:O141" si="28">HLOOKUP(D$117,$86:$115,24,FALSE)</f>
        <v>100.369928</v>
      </c>
      <c r="E141" s="107">
        <f t="shared" si="28"/>
        <v>71.082879000000005</v>
      </c>
      <c r="F141" s="107">
        <f t="shared" si="28"/>
        <v>53.195481000000001</v>
      </c>
      <c r="G141" s="107">
        <f t="shared" si="28"/>
        <v>108.751255</v>
      </c>
      <c r="H141" s="107">
        <f t="shared" si="28"/>
        <v>89.285196999999997</v>
      </c>
      <c r="I141" s="107">
        <f t="shared" si="28"/>
        <v>94.671989999999994</v>
      </c>
      <c r="J141" s="107">
        <f t="shared" si="28"/>
        <v>147.019094</v>
      </c>
      <c r="K141" s="107">
        <f t="shared" si="28"/>
        <v>129.86778200000001</v>
      </c>
      <c r="L141" s="107">
        <f t="shared" si="28"/>
        <v>169.43657200000001</v>
      </c>
      <c r="M141" s="107">
        <f t="shared" si="28"/>
        <v>210.63246799999999</v>
      </c>
      <c r="N141" s="107">
        <f t="shared" si="28"/>
        <v>148.53897900000001</v>
      </c>
      <c r="O141" s="124">
        <f t="shared" si="28"/>
        <v>116.739524</v>
      </c>
    </row>
    <row r="142" spans="1:15">
      <c r="A142" s="206"/>
      <c r="B142" s="105" t="s">
        <v>4</v>
      </c>
      <c r="C142" s="107">
        <f>HLOOKUP(C$117,$86:$115,25,FALSE)</f>
        <v>30.035509999999999</v>
      </c>
      <c r="D142" s="107">
        <f t="shared" ref="D142:O142" si="29">HLOOKUP(D$117,$86:$115,25,FALSE)</f>
        <v>25.317008999999999</v>
      </c>
      <c r="E142" s="107">
        <f t="shared" si="29"/>
        <v>23.810552999999999</v>
      </c>
      <c r="F142" s="107">
        <f t="shared" si="29"/>
        <v>24.702621000000001</v>
      </c>
      <c r="G142" s="107">
        <f t="shared" si="29"/>
        <v>26.401495000000001</v>
      </c>
      <c r="H142" s="107">
        <f t="shared" si="29"/>
        <v>31.966273999999999</v>
      </c>
      <c r="I142" s="107">
        <f t="shared" si="29"/>
        <v>35.953691999999997</v>
      </c>
      <c r="J142" s="107">
        <f t="shared" si="29"/>
        <v>35.545333999999997</v>
      </c>
      <c r="K142" s="107">
        <f t="shared" si="29"/>
        <v>36.232920999999997</v>
      </c>
      <c r="L142" s="107">
        <f t="shared" si="29"/>
        <v>42.799511000000003</v>
      </c>
      <c r="M142" s="107">
        <f t="shared" si="29"/>
        <v>40.863112000000001</v>
      </c>
      <c r="N142" s="107">
        <f t="shared" si="29"/>
        <v>37.483722</v>
      </c>
      <c r="O142" s="124">
        <f t="shared" si="29"/>
        <v>36.278264999999998</v>
      </c>
    </row>
    <row r="143" spans="1:15">
      <c r="A143" s="206"/>
      <c r="B143" s="105" t="s">
        <v>22</v>
      </c>
      <c r="C143" s="107">
        <f>HLOOKUP(C$117,$86:$115,26,FALSE)</f>
        <v>0.524733</v>
      </c>
      <c r="D143" s="107">
        <f t="shared" ref="D143:O143" si="30">HLOOKUP(D$117,$86:$115,26,FALSE)</f>
        <v>0.42454199999999997</v>
      </c>
      <c r="E143" s="107">
        <f t="shared" si="30"/>
        <v>0.44537900000000002</v>
      </c>
      <c r="F143" s="107">
        <f t="shared" si="30"/>
        <v>0.50013399999999997</v>
      </c>
      <c r="G143" s="107">
        <f t="shared" si="30"/>
        <v>0.49944300000000003</v>
      </c>
      <c r="H143" s="107">
        <f t="shared" si="30"/>
        <v>0.57839200000000002</v>
      </c>
      <c r="I143" s="107">
        <f t="shared" si="30"/>
        <v>0.26424700000000001</v>
      </c>
      <c r="J143" s="107">
        <f t="shared" si="30"/>
        <v>0.430983</v>
      </c>
      <c r="K143" s="107">
        <f t="shared" si="30"/>
        <v>0.49796200000000002</v>
      </c>
      <c r="L143" s="107">
        <f t="shared" si="30"/>
        <v>0.62341999999999997</v>
      </c>
      <c r="M143" s="107">
        <f t="shared" si="30"/>
        <v>1.3289139999999999</v>
      </c>
      <c r="N143" s="107">
        <f t="shared" si="30"/>
        <v>1.1101749999999999</v>
      </c>
      <c r="O143" s="124">
        <f t="shared" si="30"/>
        <v>1.1028469999999999</v>
      </c>
    </row>
    <row r="144" spans="1:15">
      <c r="A144" s="206"/>
      <c r="B144" s="117" t="s">
        <v>1</v>
      </c>
      <c r="C144" s="118">
        <f>HLOOKUP(C$117,$86:$115,28,FALSE)</f>
        <v>804.27724599999999</v>
      </c>
      <c r="D144" s="118">
        <f t="shared" ref="D144:O144" si="31">HLOOKUP(D$117,$86:$115,28,FALSE)</f>
        <v>731.55021499999998</v>
      </c>
      <c r="E144" s="118">
        <f t="shared" si="31"/>
        <v>733.95237899999995</v>
      </c>
      <c r="F144" s="118">
        <f t="shared" si="31"/>
        <v>741.144363</v>
      </c>
      <c r="G144" s="118">
        <f t="shared" si="31"/>
        <v>691.386799</v>
      </c>
      <c r="H144" s="118">
        <f t="shared" si="31"/>
        <v>724.54059900000004</v>
      </c>
      <c r="I144" s="118">
        <f t="shared" si="31"/>
        <v>704.93682799999999</v>
      </c>
      <c r="J144" s="118">
        <f t="shared" si="31"/>
        <v>707.88841100000002</v>
      </c>
      <c r="K144" s="118">
        <f t="shared" si="31"/>
        <v>692.21298300000001</v>
      </c>
      <c r="L144" s="118">
        <f t="shared" si="31"/>
        <v>759.70508099999995</v>
      </c>
      <c r="M144" s="118">
        <f t="shared" si="31"/>
        <v>781.60241499999995</v>
      </c>
      <c r="N144" s="118">
        <f t="shared" si="31"/>
        <v>736.92690100000004</v>
      </c>
      <c r="O144" s="118">
        <f t="shared" si="31"/>
        <v>770.01149899999996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329.83554600000002</v>
      </c>
      <c r="D146" s="130">
        <f t="shared" ref="D146:N146" si="32">SUM(D136:D138)</f>
        <v>283.460553</v>
      </c>
      <c r="E146" s="130">
        <f t="shared" si="32"/>
        <v>293.93341900000001</v>
      </c>
      <c r="F146" s="130">
        <f t="shared" si="32"/>
        <v>313.17357400000003</v>
      </c>
      <c r="G146" s="130">
        <f t="shared" si="32"/>
        <v>271.07811399999997</v>
      </c>
      <c r="H146" s="130">
        <f t="shared" si="32"/>
        <v>294.881663</v>
      </c>
      <c r="I146" s="130">
        <f t="shared" si="32"/>
        <v>257.29920000000004</v>
      </c>
      <c r="J146" s="130">
        <f t="shared" si="32"/>
        <v>262.610321</v>
      </c>
      <c r="K146" s="130">
        <f t="shared" si="32"/>
        <v>252.95584600000001</v>
      </c>
      <c r="L146" s="130">
        <f t="shared" si="32"/>
        <v>278.93440799999996</v>
      </c>
      <c r="M146" s="130">
        <f t="shared" si="32"/>
        <v>266.24014199999999</v>
      </c>
      <c r="N146" s="130">
        <f t="shared" si="32"/>
        <v>252.68561</v>
      </c>
      <c r="O146" s="131">
        <f>SUM(O136:O138)</f>
        <v>259.69151499999998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127</v>
      </c>
      <c r="B152" s="159" t="s">
        <v>128</v>
      </c>
      <c r="C152" s="175">
        <v>1.149E-2</v>
      </c>
      <c r="D152" s="175">
        <v>5.47E-3</v>
      </c>
      <c r="E152" s="175">
        <v>-1.6230000000000001E-2</v>
      </c>
      <c r="F152" s="175">
        <v>2.2249999999999999E-2</v>
      </c>
      <c r="G152" s="175">
        <v>-3.9899999999999996E-3</v>
      </c>
      <c r="H152" s="175">
        <v>-1.2E-4</v>
      </c>
      <c r="I152" s="175">
        <v>-1.5779999999999999E-2</v>
      </c>
      <c r="J152" s="175">
        <v>1.191E-2</v>
      </c>
      <c r="K152" s="175">
        <v>1.7099999999999999E-3</v>
      </c>
      <c r="L152" s="175">
        <v>-9.3000000000000005E-4</v>
      </c>
      <c r="M152" s="175">
        <v>-1.43E-2</v>
      </c>
      <c r="N152" s="175">
        <v>1.694E-2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127</v>
      </c>
      <c r="B158" s="159" t="s">
        <v>128</v>
      </c>
      <c r="C158" s="175">
        <v>-4.2599999999999999E-2</v>
      </c>
      <c r="D158" s="175">
        <v>7.7400000000000004E-3</v>
      </c>
      <c r="E158" s="175">
        <v>-1.805E-2</v>
      </c>
      <c r="F158" s="175">
        <v>-3.2289999999999999E-2</v>
      </c>
      <c r="G158" s="175">
        <v>2.8400000000000001E-3</v>
      </c>
      <c r="H158" s="175">
        <v>5.5999999999999995E-4</v>
      </c>
      <c r="I158" s="175">
        <v>-4.8599999999999997E-3</v>
      </c>
      <c r="J158" s="175">
        <v>7.1399999999999996E-3</v>
      </c>
      <c r="K158" s="175">
        <v>6.6400000000000001E-3</v>
      </c>
      <c r="L158" s="175">
        <v>-1.0000000000000001E-5</v>
      </c>
      <c r="M158" s="175">
        <v>-3.96E-3</v>
      </c>
      <c r="N158" s="175">
        <v>1.061E-2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Y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2024-11-14T17:48:20Z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