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L\INF_ELABORADA\"/>
    </mc:Choice>
  </mc:AlternateContent>
  <xr:revisionPtr revIDLastSave="0" documentId="13_ncr:1_{2E125FF9-B725-497B-9644-125481ECE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Dat_01!$A$85:$V$113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2" l="1"/>
  <c r="F11" i="22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<sst xmlns="http://schemas.openxmlformats.org/spreadsheetml/2006/main" count="427" uniqueCount="133">
  <si>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</si>
  <si>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</si>
  <si>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</si>
  <si>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</si>
  <si>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</si>
  <si>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</si>
  <si>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</si>
  <si>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</si>
  <si>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</si>
  <si>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</si>
  <si>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</si>
  <si>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</si>
  <si>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</si>
  <si>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</si>
  <si>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</si>
  <si>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</si>
  <si>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</si>
  <si>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</si>
  <si>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</si>
  <si>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</si>
  <si>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</si>
  <si>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</si>
  <si>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</si>
  <si>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</si>
  <si>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</si>
  <si>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</si>
  <si>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</si>
  <si>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</si>
  <si>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</si>
  <si>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</si>
  <si>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</si>
  <si>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</si>
  <si>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</si>
  <si>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</si>
  <si>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</si>
  <si>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</si>
  <si>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</si>
  <si>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</si>
  <si>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</si>
  <si>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</si>
  <si>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</si>
  <si>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</si>
  <si>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</si>
  <si>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</si>
  <si>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</si>
  <si>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</si>
  <si>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</si>
  <si>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</si>
  <si>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</si>
  <si>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</si>
  <si>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</si>
  <si>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</si>
  <si>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</si>
  <si>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</si>
  <si>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</si>
  <si>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</si>
  <si>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</si>
  <si>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</si>
  <si>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</si>
  <si>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</si>
  <si>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</si>
  <si>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</si>
  <si>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</si>
  <si>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</si>
  <si>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</si>
  <si>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</si>
  <si>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</si>
  <si>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</si>
  <si>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</si>
  <si>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</si>
  <si>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</si>
  <si>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</si>
  <si>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</si>
  <si>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</si>
  <si>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</si>
  <si>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</si>
  <si>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</si>
  <si>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</si>
  <si>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</si>
  <si>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</si>
  <si>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</si>
  <si>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</si>
  <si>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</si>
  <si>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</si>
  <si>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</si>
  <si>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</si>
  <si>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</si>
  <si>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</si>
  <si>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</si>
  <si>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</si>
  <si>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</si>
  <si>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</si>
  <si>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</si>
  <si>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</si>
  <si>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</si>
  <si>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</si>
  <si>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</si>
  <si>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</si>
  <si>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</si>
  <si>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</si>
  <si>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</si>
  <si>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</si>
  <si>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</si>
  <si>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</si>
  <si>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</si>
  <si>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</si>
  <si>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</si>
  <si>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</si>
  <si>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</si>
  <si>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</si>
  <si>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</si>
  <si>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</si>
  <si>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</si>
  <si>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</si>
  <si>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</si>
  <si>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</si>
  <si>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</si>
  <si>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</si>
  <si>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</si>
  <si>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</si>
  <si>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</si>
  <si>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</si>
  <si>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</si>
  <si>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</si>
  <si>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</si>
  <si>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31/07/2024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</si>
  <si>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10:51:43" si="2.00000001071b649fa22d44fec13d5affb0947cdf1a4c54abc8e0821ef693e0c8315a8b600c2d82d54ca4a5afab4b35410d4623691fdd79530a2617f2773f186f477dd756ed7b1b31a9a422e548b87a2c788b3bd23a1ccadf7aa7f89e5eb672fc113a2aefbcaa8612e431517ad8ec3ff1ba6fdfa6b7541c131972fe1ddbef129d6a44d071686974e71fc94cac5758ae86bd33a26fb25d0fcc1f18d06e7288fac691f4.p.3082.0.1.Europe/Madrid.upriv*_1*_pidn2*_2*_session*-lat*_1.00000001b9b88f8b1a9bc884ca75d3c80ef35480bc6025e00c6198bbae37b09cb62ea8e254c7c20babc0023a00c0385793b3bb56c64a8743.000000019dae660ebe0e9c370bb1cef6b8681fb6bc6025e00d2053afb531fba4dc05d77eb4b1268584e9715808a9d0c6211cab07a2342862.0.1.1.BDEbi.D066E1C611E6257C10D00080EF253B44.0-3082.1.1_-0.1.0_-3082.1.1_5.5.0.*0.0000000191a84e0b1850501bad813daaed3cc684c911585ac932e68ef3a70135a560c448c586af5c.0.23.11*.2*.0400*.31152J.e.000000014b63dabc48dce86343855ff12b08a4f3c911585a7b0acfa3881f627020830363a2c4e75d.0.10*.131*.122*.122.0.0" msgID="013F6BFD11EF596263450080EF95C20F"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</si>
  <si>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10:56:55" si="2.00000001071b649fa22d44fec13d5affb0947cdf1a4c54abc8e0821ef693e0c8315a8b600c2d82d54ca4a5afab4b35410d4623691fdd79530a2617f2773f186f477dd756ed7b1b31a9a422e548b87a2c788b3bd23a1ccadf7aa7f89e5eb672fc113a2aefbcaa8612e431517ad8ec3ff1ba6fdfa6b7541c131972fe1ddbef129d6a44d071686974e71fc94cac5758ae86bd33a26fb25d0fcc1f18d06e7288fac691f4.p.3082.0.1.Europe/Madrid.upriv*_1*_pidn2*_2*_session*-lat*_1.00000001b9b88f8b1a9bc884ca75d3c80ef35480bc6025e00c6198bbae37b09cb62ea8e254c7c20babc0023a00c0385793b3bb56c64a8743.000000019dae660ebe0e9c370bb1cef6b8681fb6bc6025e00d2053afb531fba4dc05d77eb4b1268584e9715808a9d0c6211cab07a2342862.0.1.1.BDEbi.D066E1C611E6257C10D00080EF253B44.0-3082.1.1_-0.1.0_-3082.1.1_5.5.0.*0.0000000191a84e0b1850501bad813daaed3cc684c911585ac932e68ef3a70135a560c448c586af5c.0.23.11*.2*.0400*.31152J.e.000000014b63dabc48dce86343855ff12b08a4f3c911585a7b0acfa3881f627020830363a2c4e75d.0.10*.131*.122*.122.0.0" msgID="0DDE950411EF596263450080EF15C310"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nrr="1598" nrc="3008"&gt;&lt;pg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</si>
  <si>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Agosto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</si>
  <si>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ut="08/13/2024 11:06:28" si="2.00000001071b649fa22d44fec13d5affb0947cdf1a4c54abc8e0821ef693e0c8315a8b600c2d82d54ca4a5afab4b35410d4623691fdd79530a2617f2773f186f477dd756ed7b1b31a9a422e548b87a2c788b3bd23a1ccadf7aa7f89e5eb672fc113a2aefbcaa8612e431517ad8ec3ff1ba6fdfa6b7541c131972fe1ddbef129d6a44d071686974e71fc94cac5758ae86bd33a26fb25d0fcc1f18d06e7288fac691f4.p.3082.0.1.Europe/Madrid.upriv*_1*_pidn2*_2*_session*-lat*_1.00000001b9b88f8b1a9bc884ca75d3c80ef35480bc6025e00c6198bbae37b09cb62ea8e254c7c20babc0023a00c0385793b3bb56c64a8743.000000019dae660ebe0e9c370bb1cef6b8681fb6bc6025e00d2053afb531fba4dc05d77eb4b1268584e9715808a9d0c6211cab07a2342862.0.1.1.BDEbi.D066E1C611E6257C10D00080EF253B44.0-3082.1.1_-0.1.0_-3082.1.1_5.5.0.*0.0000000191a84e0b1850501bad813daaed3cc684c911585ac932e68ef3a70135a560c448c586af5c.0.23.11*.2*.0400*.31152J.e.000000014b63dabc48dce86343855ff12b08a4f3c911585a7b0acfa3881f627020830363a2c4e75d.0.10*.131*.122*.122.0.0" msgID="261C552E11EF596363450080EFD5430F"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cols="22" /&gt;&lt;esdo ews="" ece="" ptn="" /&gt;&lt;/excel&gt;&lt;pgs&gt;&lt;pg rows="26" cols="20" nrr="2327" nrc="1769"&gt;&lt;pg /&gt;&lt;bls&gt;&lt;bl sr="1" sc="1" rfetch="26" cfetch="20" posid="1" darows="0" dacols="1"&gt;&lt;excel&gt;&lt;epo ews="Dat_01" ece="A85" enr="MSTR.Serie_Balance_B.C._Mensual_Baleares_y_Canarias" ptn="" qtn="" rows="29" cols="22" /&gt;&lt;esdo ews="" ece="" ptn="" /&gt;&lt;/excel&gt;&lt;gridRng&gt;&lt;sect id="TITLE_AREA" rngprop="1:1:3:2" /&gt;&lt;sect id="ROWHEADERS_AREA" rngprop="4:1:26:2" /&gt;&lt;sect id="COLUMNHEADERS_AREA" rngprop="1:3:3:20" /&gt;&lt;sect id="DATA_AREA" rngprop="4:3:26:20"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</si>
  <si>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ut="08/13/2024 11:14:16" si="2.0000000121b15d163d7eb7df120a0cfab35fc6b5dc5878a9d4c0bc7eef69527b6ea977914c0c64409fcdfc38ff66f463cd1a17fdbc73001cb6887297653f1ec24580df54930d64001c029502457b562e7fc6f4da71671889c1462d99393f1af12c38f08bd65185791050be21425c309327e5e83c8ee24163e0885f37676d713a5448dc14856ee95efea129cce7f88267473b56fadc9efb8c34cd0f4162e7967c04c3.p.3082.0.1.Europe/Madrid.upriv*_1*_pidn2*_12*_session*-lat*_1.00000001628c5d0a6a0449aab128e935b615d6dfbc6025e09c2a5cfc93005bf64f98dce24e94e88f4fb8ca3d2d362cb532adf8afb6fb687a.000000010c3de36a3e235b70fb155f2c521881b1bc6025e0a1af000d0a6e25eeeeebd7e82aa520d3235b5422d5115050873de631f9559990.0.1.1.BDEbi.D066E1C611E6257C10D00080EF253B44.0-3082.1.1_-0.1.0_-3082.1.1_5.5.0.*0.00000001f0ea279c2a11507d0459b4cdb681b9a6c911585a0cb4a0b6ef58653c36c15c5c2dd447eb.0.23.11*.2*.0400*.31152J.e.000000019de86688ba367c9532d8a8c8a95885c1c911585abee2d6f4431c8b022033c8b76e4b98ef.0.10*.131*.122*.122.0.0" msgID="266EF51611EF596563450080EF25E310"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nrr="120" nrc="876"&gt;&lt;pg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</si>
  <si>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ebb70be6cc0c4e27b6c24bb50d77c5a6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</si>
  <si>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ut="08/13/2024 11:14:36" si="2.0000000121b15d163d7eb7df120a0cfab35fc6b5dc5878a9d4c0bc7eef69527b6ea977914c0c64409fcdfc38ff66f463cd1a17fdbc73001cb6887297653f1ec24580df54930d64001c029502457b562e7fc6f4da71671889c1462d99393f1af12c38f08bd65185791050be21425c309327e5e83c8ee24163e0885f37676d713a5448dc14856ee95efea129cce7f88267473b56fadc9efb8c34cd0f4162e7967c04c3.p.3082.0.1.Europe/Madrid.upriv*_1*_pidn2*_12*_session*-lat*_1.00000001628c5d0a6a0449aab128e935b615d6dfbc6025e09c2a5cfc93005bf64f98dce24e94e88f4fb8ca3d2d362cb532adf8afb6fb687a.000000010c3de36a3e235b70fb155f2c521881b1bc6025e0a1af000d0a6e25eeeeebd7e82aa520d3235b5422d5115050873de631f9559990.0.1.1.BDEbi.D066E1C611E6257C10D00080EF253B44.0-3082.1.1_-0.1.0_-3082.1.1_5.5.0.*0.00000001f0ea279c2a11507d0459b4cdb681b9a6c911585a0cb4a0b6ef58653c36c15c5c2dd447eb.0.23.11*.2*.0400*.31152J.e.000000019de86688ba367c9532d8a8c8a95885c1c911585abee2d6f4431c8b022033c8b76e4b98ef.0.10*.131*.122*.122.0.0" msgID="3352C47E11EF596563450080EF25E310"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nrr="76" nrc="924"&gt;&lt;pg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</si>
</sst>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2682926829268282"/>
                  <c:y val="-9.3137254901960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07"/>
                  <c:y val="-2.3534645669291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245118750400103"/>
                  <c:y val="1.611122047244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1382101017860573"/>
                  <c:y val="0.23156850393700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70083861468536"/>
                  <c:y val="-1.306653543307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024390243902439"/>
                  <c:y val="-6.7824803149606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25710620318801614"/>
                  <c:y val="-0.121020920179095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0.2280717850777656</c:v>
                </c:pt>
                <c:pt idx="1">
                  <c:v>7.5060888519984106</c:v>
                </c:pt>
                <c:pt idx="2">
                  <c:v>7.6723895046315143</c:v>
                </c:pt>
                <c:pt idx="3">
                  <c:v>40.054261273651008</c:v>
                </c:pt>
                <c:pt idx="4">
                  <c:v>0</c:v>
                </c:pt>
                <c:pt idx="5">
                  <c:v>0.4809598824996793</c:v>
                </c:pt>
                <c:pt idx="6">
                  <c:v>2.3078515986488237</c:v>
                </c:pt>
                <c:pt idx="7">
                  <c:v>2.3078515986488237</c:v>
                </c:pt>
                <c:pt idx="8">
                  <c:v>0</c:v>
                </c:pt>
                <c:pt idx="9">
                  <c:v>8.8253732587833262</c:v>
                </c:pt>
                <c:pt idx="10">
                  <c:v>2.7005197116249682E-2</c:v>
                </c:pt>
                <c:pt idx="11">
                  <c:v>30.590147048944406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10.78108372772213</c:v>
                </c:pt>
                <c:pt idx="1">
                  <c:v>6.2308585059886612</c:v>
                </c:pt>
                <c:pt idx="2">
                  <c:v>26.957179088678345</c:v>
                </c:pt>
                <c:pt idx="3">
                  <c:v>36.781732170574379</c:v>
                </c:pt>
                <c:pt idx="4">
                  <c:v>0</c:v>
                </c:pt>
                <c:pt idx="5">
                  <c:v>0.51505152485299388</c:v>
                </c:pt>
                <c:pt idx="6">
                  <c:v>1.6716937455091527</c:v>
                </c:pt>
                <c:pt idx="7">
                  <c:v>1.6716937455091527</c:v>
                </c:pt>
                <c:pt idx="8">
                  <c:v>0.15945902238245729</c:v>
                </c:pt>
                <c:pt idx="9">
                  <c:v>15.055497137035612</c:v>
                </c:pt>
                <c:pt idx="10">
                  <c:v>0.17575133174711202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54.925434000000003</c:v>
                </c:pt>
                <c:pt idx="1">
                  <c:v>9.0232189999999992</c:v>
                </c:pt>
                <c:pt idx="2">
                  <c:v>-0.82337800000000005</c:v>
                </c:pt>
                <c:pt idx="3">
                  <c:v>-0.82724900000000001</c:v>
                </c:pt>
                <c:pt idx="4">
                  <c:v>-0.89542500000000003</c:v>
                </c:pt>
                <c:pt idx="5">
                  <c:v>-0.69586499999999996</c:v>
                </c:pt>
                <c:pt idx="6">
                  <c:v>-0.70605399999999996</c:v>
                </c:pt>
                <c:pt idx="7">
                  <c:v>-0.66276199999999996</c:v>
                </c:pt>
                <c:pt idx="8">
                  <c:v>-0.710283</c:v>
                </c:pt>
                <c:pt idx="9">
                  <c:v>-0.939218</c:v>
                </c:pt>
                <c:pt idx="10">
                  <c:v>22.073955999999999</c:v>
                </c:pt>
                <c:pt idx="11">
                  <c:v>26.418958</c:v>
                </c:pt>
                <c:pt idx="12">
                  <c:v>1.554179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124.68270699999999</c:v>
                </c:pt>
                <c:pt idx="1">
                  <c:v>118.33977300000001</c:v>
                </c:pt>
                <c:pt idx="2">
                  <c:v>82.054295999999994</c:v>
                </c:pt>
                <c:pt idx="3">
                  <c:v>61.254111000000002</c:v>
                </c:pt>
                <c:pt idx="4">
                  <c:v>30.185099999999998</c:v>
                </c:pt>
                <c:pt idx="5">
                  <c:v>28.871046999999997</c:v>
                </c:pt>
                <c:pt idx="6">
                  <c:v>30.443576</c:v>
                </c:pt>
                <c:pt idx="7">
                  <c:v>28.621776999999998</c:v>
                </c:pt>
                <c:pt idx="8">
                  <c:v>30.374336</c:v>
                </c:pt>
                <c:pt idx="9">
                  <c:v>47.711207999999999</c:v>
                </c:pt>
                <c:pt idx="10">
                  <c:v>41.291938999999999</c:v>
                </c:pt>
                <c:pt idx="11">
                  <c:v>61.203187</c:v>
                </c:pt>
                <c:pt idx="12">
                  <c:v>103.43266399999999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316.35504600000002</c:v>
                </c:pt>
                <c:pt idx="1">
                  <c:v>324.37696499999998</c:v>
                </c:pt>
                <c:pt idx="2">
                  <c:v>296.32292799999999</c:v>
                </c:pt>
                <c:pt idx="3">
                  <c:v>247.112684</c:v>
                </c:pt>
                <c:pt idx="4">
                  <c:v>224.26124200000001</c:v>
                </c:pt>
                <c:pt idx="5">
                  <c:v>233.91494</c:v>
                </c:pt>
                <c:pt idx="6">
                  <c:v>244.02029300000001</c:v>
                </c:pt>
                <c:pt idx="7">
                  <c:v>218.49136100000001</c:v>
                </c:pt>
                <c:pt idx="8">
                  <c:v>213.548517</c:v>
                </c:pt>
                <c:pt idx="9">
                  <c:v>205.68247400000001</c:v>
                </c:pt>
                <c:pt idx="10">
                  <c:v>206.763338</c:v>
                </c:pt>
                <c:pt idx="11">
                  <c:v>212.499032</c:v>
                </c:pt>
                <c:pt idx="12">
                  <c:v>272.94692199999997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0.118565</c:v>
                </c:pt>
                <c:pt idx="1">
                  <c:v>9.7920999999999994E-2</c:v>
                </c:pt>
                <c:pt idx="2">
                  <c:v>0</c:v>
                </c:pt>
                <c:pt idx="3">
                  <c:v>1.0359999999999999E-2</c:v>
                </c:pt>
                <c:pt idx="4">
                  <c:v>8.7279999999999996E-3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41.537353000000003</c:v>
                </c:pt>
                <c:pt idx="1">
                  <c:v>44.650032000000003</c:v>
                </c:pt>
                <c:pt idx="2">
                  <c:v>34.850726000000002</c:v>
                </c:pt>
                <c:pt idx="3">
                  <c:v>32.896220999999997</c:v>
                </c:pt>
                <c:pt idx="4">
                  <c:v>24.884706000000001</c:v>
                </c:pt>
                <c:pt idx="5">
                  <c:v>22.636651000000001</c:v>
                </c:pt>
                <c:pt idx="6">
                  <c:v>23.970113999999999</c:v>
                </c:pt>
                <c:pt idx="7">
                  <c:v>30.744498</c:v>
                </c:pt>
                <c:pt idx="8">
                  <c:v>45.305076999999997</c:v>
                </c:pt>
                <c:pt idx="9">
                  <c:v>44.568354999999997</c:v>
                </c:pt>
                <c:pt idx="10">
                  <c:v>58.305483000000002</c:v>
                </c:pt>
                <c:pt idx="11">
                  <c:v>53.291172000000003</c:v>
                </c:pt>
                <c:pt idx="12">
                  <c:v>60.139879999999998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0.102288</c:v>
                </c:pt>
                <c:pt idx="1">
                  <c:v>9.2054999999999998E-2</c:v>
                </c:pt>
                <c:pt idx="2">
                  <c:v>0.14128099999999999</c:v>
                </c:pt>
                <c:pt idx="3">
                  <c:v>0.14801500000000001</c:v>
                </c:pt>
                <c:pt idx="4">
                  <c:v>0.14354</c:v>
                </c:pt>
                <c:pt idx="5">
                  <c:v>0.12625700000000001</c:v>
                </c:pt>
                <c:pt idx="6">
                  <c:v>0.10422099999999999</c:v>
                </c:pt>
                <c:pt idx="7">
                  <c:v>3.9530000000000003E-2</c:v>
                </c:pt>
                <c:pt idx="8">
                  <c:v>4.0002000000000003E-2</c:v>
                </c:pt>
                <c:pt idx="9">
                  <c:v>1.5544000000000001E-2</c:v>
                </c:pt>
                <c:pt idx="10">
                  <c:v>4.1384999999999998E-2</c:v>
                </c:pt>
                <c:pt idx="11">
                  <c:v>7.8099000000000002E-2</c:v>
                </c:pt>
                <c:pt idx="12">
                  <c:v>0.18402499999999999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3.1795529999999999</c:v>
                </c:pt>
                <c:pt idx="1">
                  <c:v>3.6746310000000002</c:v>
                </c:pt>
                <c:pt idx="2">
                  <c:v>2.995241</c:v>
                </c:pt>
                <c:pt idx="3">
                  <c:v>1.6210690000000001</c:v>
                </c:pt>
                <c:pt idx="4">
                  <c:v>1.996553</c:v>
                </c:pt>
                <c:pt idx="5">
                  <c:v>3.1565249999999998</c:v>
                </c:pt>
                <c:pt idx="6">
                  <c:v>3.9370180000000001</c:v>
                </c:pt>
                <c:pt idx="7">
                  <c:v>3.7397490000000002</c:v>
                </c:pt>
                <c:pt idx="8">
                  <c:v>3.4851179999999999</c:v>
                </c:pt>
                <c:pt idx="9">
                  <c:v>1.9095409999999999</c:v>
                </c:pt>
                <c:pt idx="10">
                  <c:v>3.5397620000000001</c:v>
                </c:pt>
                <c:pt idx="11">
                  <c:v>3.4609559999999999</c:v>
                </c:pt>
                <c:pt idx="12">
                  <c:v>3.2774670000000001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12.541195999999999</c:v>
                </c:pt>
                <c:pt idx="1">
                  <c:v>14.683114</c:v>
                </c:pt>
                <c:pt idx="2">
                  <c:v>9.9340825000000006</c:v>
                </c:pt>
                <c:pt idx="3">
                  <c:v>10.861402</c:v>
                </c:pt>
                <c:pt idx="4">
                  <c:v>10.810193999999999</c:v>
                </c:pt>
                <c:pt idx="5">
                  <c:v>8.9918355000000005</c:v>
                </c:pt>
                <c:pt idx="6">
                  <c:v>10.485035</c:v>
                </c:pt>
                <c:pt idx="7">
                  <c:v>5.6085469999999997</c:v>
                </c:pt>
                <c:pt idx="8">
                  <c:v>12.829401000000001</c:v>
                </c:pt>
                <c:pt idx="9">
                  <c:v>11.323399</c:v>
                </c:pt>
                <c:pt idx="10">
                  <c:v>12.2750895</c:v>
                </c:pt>
                <c:pt idx="11">
                  <c:v>16.584269500000001</c:v>
                </c:pt>
                <c:pt idx="12">
                  <c:v>15.726691000000001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12.541195999999999</c:v>
                </c:pt>
                <c:pt idx="1">
                  <c:v>14.683114</c:v>
                </c:pt>
                <c:pt idx="2">
                  <c:v>9.9340825000000006</c:v>
                </c:pt>
                <c:pt idx="3">
                  <c:v>10.861402</c:v>
                </c:pt>
                <c:pt idx="4">
                  <c:v>10.810193999999999</c:v>
                </c:pt>
                <c:pt idx="5">
                  <c:v>8.9918355000000005</c:v>
                </c:pt>
                <c:pt idx="6">
                  <c:v>10.485035</c:v>
                </c:pt>
                <c:pt idx="7">
                  <c:v>5.6085469999999997</c:v>
                </c:pt>
                <c:pt idx="8">
                  <c:v>12.829401000000001</c:v>
                </c:pt>
                <c:pt idx="9">
                  <c:v>11.323399</c:v>
                </c:pt>
                <c:pt idx="10">
                  <c:v>12.2750895</c:v>
                </c:pt>
                <c:pt idx="11">
                  <c:v>16.584269500000001</c:v>
                </c:pt>
                <c:pt idx="12">
                  <c:v>15.726691000000001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168.54782399999999</c:v>
                </c:pt>
                <c:pt idx="1">
                  <c:v>175.00929099999999</c:v>
                </c:pt>
                <c:pt idx="2">
                  <c:v>130.854702</c:v>
                </c:pt>
                <c:pt idx="3">
                  <c:v>131.44748999999999</c:v>
                </c:pt>
                <c:pt idx="4">
                  <c:v>70.735690000000005</c:v>
                </c:pt>
                <c:pt idx="5">
                  <c:v>112.440268</c:v>
                </c:pt>
                <c:pt idx="6">
                  <c:v>122.760274</c:v>
                </c:pt>
                <c:pt idx="7">
                  <c:v>114.74408200000001</c:v>
                </c:pt>
                <c:pt idx="8">
                  <c:v>110.667727</c:v>
                </c:pt>
                <c:pt idx="9">
                  <c:v>109.36235000000001</c:v>
                </c:pt>
                <c:pt idx="10">
                  <c:v>117.764884</c:v>
                </c:pt>
                <c:pt idx="11">
                  <c:v>145.36358899999999</c:v>
                </c:pt>
                <c:pt idx="12">
                  <c:v>208.454387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14.667850026840249</c:v>
                </c:pt>
                <c:pt idx="1">
                  <c:v>15.663774303742636</c:v>
                </c:pt>
                <c:pt idx="2">
                  <c:v>14.517453730116845</c:v>
                </c:pt>
                <c:pt idx="3">
                  <c:v>26.030591036886946</c:v>
                </c:pt>
                <c:pt idx="4">
                  <c:v>1.1490277069668149</c:v>
                </c:pt>
                <c:pt idx="5">
                  <c:v>4.5720474203915139E-2</c:v>
                </c:pt>
                <c:pt idx="6">
                  <c:v>0.3404972157817891</c:v>
                </c:pt>
                <c:pt idx="7">
                  <c:v>19.392399292109296</c:v>
                </c:pt>
                <c:pt idx="8">
                  <c:v>7.9690168408644553</c:v>
                </c:pt>
                <c:pt idx="9">
                  <c:v>0.22366937248704802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18"/>
                  <c:y val="2.5644588544079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20.663872943080342</c:v>
                </c:pt>
                <c:pt idx="1">
                  <c:v>2.1429426954725885</c:v>
                </c:pt>
                <c:pt idx="2">
                  <c:v>13.911611608200481</c:v>
                </c:pt>
                <c:pt idx="3">
                  <c:v>34.766871770719625</c:v>
                </c:pt>
                <c:pt idx="4">
                  <c:v>0</c:v>
                </c:pt>
                <c:pt idx="5">
                  <c:v>3.8254459855624132E-2</c:v>
                </c:pt>
                <c:pt idx="6">
                  <c:v>0.46222165515990055</c:v>
                </c:pt>
                <c:pt idx="7">
                  <c:v>22.307421852931572</c:v>
                </c:pt>
                <c:pt idx="8">
                  <c:v>5.6247371193097067</c:v>
                </c:pt>
                <c:pt idx="9">
                  <c:v>8.2065895270156161E-2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0.30186600000000002</c:v>
                </c:pt>
                <c:pt idx="1">
                  <c:v>0.289545</c:v>
                </c:pt>
                <c:pt idx="2">
                  <c:v>0.28924100000000003</c:v>
                </c:pt>
                <c:pt idx="3">
                  <c:v>0.30332900000000002</c:v>
                </c:pt>
                <c:pt idx="4">
                  <c:v>0.28045300000000001</c:v>
                </c:pt>
                <c:pt idx="5">
                  <c:v>0.30560300000000001</c:v>
                </c:pt>
                <c:pt idx="6">
                  <c:v>0.29624200000000001</c:v>
                </c:pt>
                <c:pt idx="7">
                  <c:v>0.28508299999999998</c:v>
                </c:pt>
                <c:pt idx="8">
                  <c:v>0.272924</c:v>
                </c:pt>
                <c:pt idx="9">
                  <c:v>0.258407</c:v>
                </c:pt>
                <c:pt idx="10">
                  <c:v>0.28213199999999999</c:v>
                </c:pt>
                <c:pt idx="11">
                  <c:v>0.27541500000000002</c:v>
                </c:pt>
                <c:pt idx="12">
                  <c:v>0.290603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263.81678599999998</c:v>
                </c:pt>
                <c:pt idx="1">
                  <c:v>280.24951799999997</c:v>
                </c:pt>
                <c:pt idx="2">
                  <c:v>278.46901400000002</c:v>
                </c:pt>
                <c:pt idx="3">
                  <c:v>329.55548099999999</c:v>
                </c:pt>
                <c:pt idx="4">
                  <c:v>283.46044599999999</c:v>
                </c:pt>
                <c:pt idx="5">
                  <c:v>293.93341900000001</c:v>
                </c:pt>
                <c:pt idx="6">
                  <c:v>313.17357400000003</c:v>
                </c:pt>
                <c:pt idx="7">
                  <c:v>271.07811399999997</c:v>
                </c:pt>
                <c:pt idx="8">
                  <c:v>294.881663</c:v>
                </c:pt>
                <c:pt idx="9">
                  <c:v>257.29920000000004</c:v>
                </c:pt>
                <c:pt idx="10">
                  <c:v>262.610321</c:v>
                </c:pt>
                <c:pt idx="11">
                  <c:v>252.95584600000001</c:v>
                </c:pt>
                <c:pt idx="12">
                  <c:v>278.93440799999996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250.52108799999999</c:v>
                </c:pt>
                <c:pt idx="1">
                  <c:v>306.93109600000003</c:v>
                </c:pt>
                <c:pt idx="2">
                  <c:v>329.65078499999998</c:v>
                </c:pt>
                <c:pt idx="3">
                  <c:v>385.37423100000001</c:v>
                </c:pt>
                <c:pt idx="4">
                  <c:v>320.60776499999997</c:v>
                </c:pt>
                <c:pt idx="5">
                  <c:v>343.70541600000001</c:v>
                </c:pt>
                <c:pt idx="6">
                  <c:v>348.60822999999999</c:v>
                </c:pt>
                <c:pt idx="7">
                  <c:v>282.95672999999999</c:v>
                </c:pt>
                <c:pt idx="8">
                  <c:v>305.966994</c:v>
                </c:pt>
                <c:pt idx="9">
                  <c:v>315.19474500000001</c:v>
                </c:pt>
                <c:pt idx="10">
                  <c:v>259.74817300000001</c:v>
                </c:pt>
                <c:pt idx="11">
                  <c:v>269.75380799999999</c:v>
                </c:pt>
                <c:pt idx="12">
                  <c:v>264.109264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2.7590569999999999</c:v>
                </c:pt>
                <c:pt idx="1">
                  <c:v>2.6998280000000001</c:v>
                </c:pt>
                <c:pt idx="2">
                  <c:v>1.3149919999999999</c:v>
                </c:pt>
                <c:pt idx="3">
                  <c:v>0.44324000000000002</c:v>
                </c:pt>
                <c:pt idx="4">
                  <c:v>1.0899650000000001</c:v>
                </c:pt>
                <c:pt idx="5">
                  <c:v>0.66913</c:v>
                </c:pt>
                <c:pt idx="6">
                  <c:v>0.66808100000000004</c:v>
                </c:pt>
                <c:pt idx="7">
                  <c:v>1.414679</c:v>
                </c:pt>
                <c:pt idx="8">
                  <c:v>1.5891550000000001</c:v>
                </c:pt>
                <c:pt idx="9">
                  <c:v>1.2945469999999999</c:v>
                </c:pt>
                <c:pt idx="10">
                  <c:v>2.2523740000000001</c:v>
                </c:pt>
                <c:pt idx="11">
                  <c:v>2.6292490000000002</c:v>
                </c:pt>
                <c:pt idx="12">
                  <c:v>3.5113029999999998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209.601507</c:v>
                </c:pt>
                <c:pt idx="1">
                  <c:v>178.40540899999999</c:v>
                </c:pt>
                <c:pt idx="2">
                  <c:v>103.255752</c:v>
                </c:pt>
                <c:pt idx="3">
                  <c:v>57.760353000000002</c:v>
                </c:pt>
                <c:pt idx="4">
                  <c:v>99.230602000000005</c:v>
                </c:pt>
                <c:pt idx="5">
                  <c:v>70.608433000000005</c:v>
                </c:pt>
                <c:pt idx="6">
                  <c:v>53.195207000000003</c:v>
                </c:pt>
                <c:pt idx="7">
                  <c:v>108.751811</c:v>
                </c:pt>
                <c:pt idx="8">
                  <c:v>89.282236999999995</c:v>
                </c:pt>
                <c:pt idx="9">
                  <c:v>94.671989999999994</c:v>
                </c:pt>
                <c:pt idx="10">
                  <c:v>147.019094</c:v>
                </c:pt>
                <c:pt idx="11">
                  <c:v>129.86778200000001</c:v>
                </c:pt>
                <c:pt idx="12">
                  <c:v>169.46007700000001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35.178874</c:v>
                </c:pt>
                <c:pt idx="1">
                  <c:v>33.707680000000003</c:v>
                </c:pt>
                <c:pt idx="2">
                  <c:v>31.407260000000001</c:v>
                </c:pt>
                <c:pt idx="3">
                  <c:v>29.906251000000001</c:v>
                </c:pt>
                <c:pt idx="4">
                  <c:v>25.097702999999999</c:v>
                </c:pt>
                <c:pt idx="5">
                  <c:v>23.682936000000002</c:v>
                </c:pt>
                <c:pt idx="6">
                  <c:v>24.559023</c:v>
                </c:pt>
                <c:pt idx="7">
                  <c:v>26.306543000000001</c:v>
                </c:pt>
                <c:pt idx="8">
                  <c:v>31.905954000000001</c:v>
                </c:pt>
                <c:pt idx="9">
                  <c:v>35.953691999999997</c:v>
                </c:pt>
                <c:pt idx="10">
                  <c:v>35.545333999999997</c:v>
                </c:pt>
                <c:pt idx="11">
                  <c:v>36.232920999999997</c:v>
                </c:pt>
                <c:pt idx="12">
                  <c:v>42.728755999999997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jul.-23</c:v>
                </c:pt>
                <c:pt idx="1">
                  <c:v>ago.-23</c:v>
                </c:pt>
                <c:pt idx="2">
                  <c:v>sep.-23</c:v>
                </c:pt>
                <c:pt idx="3">
                  <c:v>oct.-23</c:v>
                </c:pt>
                <c:pt idx="4">
                  <c:v>nov.-23</c:v>
                </c:pt>
                <c:pt idx="5">
                  <c:v>dic.-23</c:v>
                </c:pt>
                <c:pt idx="6">
                  <c:v>ene.-24</c:v>
                </c:pt>
                <c:pt idx="7">
                  <c:v>feb.-24</c:v>
                </c:pt>
                <c:pt idx="8">
                  <c:v>mar.-24</c:v>
                </c:pt>
                <c:pt idx="9">
                  <c:v>abr.-24</c:v>
                </c:pt>
                <c:pt idx="10">
                  <c:v>may.-24</c:v>
                </c:pt>
                <c:pt idx="11">
                  <c:v>jun.-24</c:v>
                </c:pt>
                <c:pt idx="12">
                  <c:v>jul.-24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0.64607300000000001</c:v>
                </c:pt>
                <c:pt idx="1">
                  <c:v>0.37482700000000002</c:v>
                </c:pt>
                <c:pt idx="2">
                  <c:v>0.37211699999999998</c:v>
                </c:pt>
                <c:pt idx="3">
                  <c:v>0.524733</c:v>
                </c:pt>
                <c:pt idx="4">
                  <c:v>0.42454199999999997</c:v>
                </c:pt>
                <c:pt idx="5">
                  <c:v>0.44537900000000002</c:v>
                </c:pt>
                <c:pt idx="6">
                  <c:v>0.50013399999999997</c:v>
                </c:pt>
                <c:pt idx="7">
                  <c:v>0.49944300000000003</c:v>
                </c:pt>
                <c:pt idx="8">
                  <c:v>0.57839200000000002</c:v>
                </c:pt>
                <c:pt idx="9">
                  <c:v>0.26424700000000001</c:v>
                </c:pt>
                <c:pt idx="10">
                  <c:v>0.430983</c:v>
                </c:pt>
                <c:pt idx="11">
                  <c:v>0.49796200000000002</c:v>
                </c:pt>
                <c:pt idx="12">
                  <c:v>0.62341999999999997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Julio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H9" sqref="H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Julio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Julio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681.44290599999999</v>
      </c>
      <c r="G9" s="147">
        <f>Dat_01!T24*100</f>
        <v>-7.2275022099999999</v>
      </c>
      <c r="H9" s="75">
        <f>Dat_01!U24/1000</f>
        <v>3403.0185529999999</v>
      </c>
      <c r="I9" s="147">
        <f>Dat_01!W24*100</f>
        <v>-1.21065365</v>
      </c>
      <c r="J9" s="75">
        <f>Dat_01!X24/1000</f>
        <v>5960.6721500000003</v>
      </c>
      <c r="K9" s="147">
        <f>Dat_01!Y24*100</f>
        <v>-0.59999271999999992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0.377</v>
      </c>
      <c r="H12" s="94"/>
      <c r="I12" s="94">
        <f>Dat_01!H152*100</f>
        <v>-8.2000000000000003E-2</v>
      </c>
      <c r="J12" s="94"/>
      <c r="K12" s="94">
        <f>Dat_01!L152*100</f>
        <v>-0.11100000000000002</v>
      </c>
    </row>
    <row r="13" spans="3:12">
      <c r="E13" s="77" t="s">
        <v>42</v>
      </c>
      <c r="F13" s="76"/>
      <c r="G13" s="94">
        <f>Dat_01!E152*100</f>
        <v>-1.905</v>
      </c>
      <c r="H13" s="94"/>
      <c r="I13" s="94">
        <f>Dat_01!I152*100</f>
        <v>-2.2210000000000001</v>
      </c>
      <c r="J13" s="94"/>
      <c r="K13" s="94">
        <f>Dat_01!M152*100</f>
        <v>-0.76800000000000002</v>
      </c>
    </row>
    <row r="14" spans="3:12">
      <c r="E14" s="78" t="s">
        <v>43</v>
      </c>
      <c r="F14" s="79"/>
      <c r="G14" s="95">
        <f>Dat_01!F152*100</f>
        <v>-5.7</v>
      </c>
      <c r="H14" s="95"/>
      <c r="I14" s="95">
        <f>Dat_01!J152*100</f>
        <v>1.0919999999999999</v>
      </c>
      <c r="J14" s="95"/>
      <c r="K14" s="95">
        <f>Dat_01!N152*100</f>
        <v>0.27899999999999997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Julio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Julio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759.65783099999999</v>
      </c>
      <c r="G9" s="147">
        <f>Dat_01!AB24*100</f>
        <v>-0.41522223000000003</v>
      </c>
      <c r="H9" s="75">
        <f>Dat_01!AC24/1000</f>
        <v>5021.4662659999995</v>
      </c>
      <c r="I9" s="147">
        <f>Dat_01!AE24*100</f>
        <v>1.68992824</v>
      </c>
      <c r="J9" s="75">
        <f>Dat_01!AF24/1000</f>
        <v>8836.2927400000008</v>
      </c>
      <c r="K9" s="147">
        <f>Dat_01!AG24*100</f>
        <v>3.02193362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0.64200000000000002</v>
      </c>
      <c r="H12" s="94"/>
      <c r="I12" s="94">
        <f>Dat_01!H158*100</f>
        <v>0.02</v>
      </c>
      <c r="J12" s="94"/>
      <c r="K12" s="94">
        <f>Dat_01!L158*100</f>
        <v>-2.7999999999999997E-2</v>
      </c>
    </row>
    <row r="13" spans="3:12">
      <c r="E13" s="77" t="s">
        <v>42</v>
      </c>
      <c r="F13" s="76"/>
      <c r="G13" s="94">
        <f>Dat_01!E158*100</f>
        <v>-0.20300000000000001</v>
      </c>
      <c r="H13" s="94"/>
      <c r="I13" s="94">
        <f>Dat_01!I158*100</f>
        <v>-0.16800000000000001</v>
      </c>
      <c r="J13" s="94"/>
      <c r="K13" s="94">
        <f>Dat_01!M158*100</f>
        <v>0.214</v>
      </c>
    </row>
    <row r="14" spans="3:12">
      <c r="E14" s="78" t="s">
        <v>43</v>
      </c>
      <c r="F14" s="79"/>
      <c r="G14" s="95">
        <f>Dat_01!F158*100</f>
        <v>-0.85400000000000009</v>
      </c>
      <c r="H14" s="95"/>
      <c r="I14" s="95">
        <f>Dat_01!J158*100</f>
        <v>1.8380000000000001</v>
      </c>
      <c r="J14" s="95"/>
      <c r="K14" s="95">
        <f>Dat_01!N158*100</f>
        <v>2.8359999999999999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131</v>
      </c>
    </row>
    <row r="2" spans="1:2">
      <c r="A2" t="s">
        <v>126</v>
      </c>
    </row>
    <row r="3" spans="1:2">
      <c r="A3" t="s">
        <v>127</v>
      </c>
    </row>
    <row r="4" spans="1:2">
      <c r="A4" t="s">
        <v>129</v>
      </c>
    </row>
    <row r="5" spans="1:2">
      <c r="A5" t="s">
        <v>130</v>
      </c>
    </row>
    <row r="6" spans="1:2">
      <c r="A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Julio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0.290603</v>
      </c>
      <c r="I9" s="14">
        <f>IF(Dat_01!AB8*100=-100,"-",Dat_01!AB8*100)</f>
        <v>-3.7311257299999996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3.5113029999999998</v>
      </c>
      <c r="I10" s="14">
        <f>Dat_01!AB15*100</f>
        <v>27.264605260000003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169.46007699999998</v>
      </c>
      <c r="I11" s="14">
        <f>Dat_01!AB16*100</f>
        <v>-19.15130791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60.139879999999998</v>
      </c>
      <c r="G12" s="14">
        <f>Dat_01!T17*100</f>
        <v>44.785056480000001</v>
      </c>
      <c r="H12" s="138">
        <f>Dat_01!Z17/1000</f>
        <v>42.728756000000004</v>
      </c>
      <c r="I12" s="14">
        <f>Dat_01!AB17*100</f>
        <v>21.461408909999999</v>
      </c>
      <c r="J12" s="138" t="s">
        <v>3</v>
      </c>
      <c r="K12" s="14" t="s">
        <v>3</v>
      </c>
      <c r="L12" s="138">
        <f>Dat_01!J17/1000</f>
        <v>7.8659999999999997E-3</v>
      </c>
      <c r="M12" s="14">
        <f>IF(Dat_01!L17*100=-100,"-",Dat_01!L17*100)</f>
        <v>-3.3185840699999996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0.18402499999999999</v>
      </c>
      <c r="G13" s="14">
        <f>IF(Dat_01!T18=-100%,"-",Dat_01!T18*100)</f>
        <v>79.908689190000004</v>
      </c>
      <c r="H13" s="138">
        <f>Dat_01!Z18/1000</f>
        <v>0.62341999999999997</v>
      </c>
      <c r="I13" s="14">
        <f>IF(Dat_01!AB18*100=-100,"-",Dat_01!AB18*100)</f>
        <v>-3.5062601300000003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15.726691000000001</v>
      </c>
      <c r="G14" s="14">
        <f>Dat_01!T21*100</f>
        <v>25.400248910000002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0.57366099999999998</v>
      </c>
      <c r="M14" s="14">
        <f>Dat_01!L21*100</f>
        <v>35.42708348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76.050595999999999</v>
      </c>
      <c r="G15" s="156">
        <f>((SUM(Dat_01!R8,Dat_01!R15:R18,Dat_01!R20)/SUM(Dat_01!S8,Dat_01!S15:S18,Dat_01!S20))-1)*100</f>
        <v>40.057888666987537</v>
      </c>
      <c r="H15" s="155">
        <f>SUM(H9:H14)</f>
        <v>216.614159</v>
      </c>
      <c r="I15" s="156">
        <f>((SUM(Dat_01!Z8,Dat_01!Z15:Z18,Dat_01!Z20)/SUM(Dat_01!AA8,Dat_01!AA15:AA18,Dat_01!AA20))-1)*100</f>
        <v>-12.826896233042874</v>
      </c>
      <c r="J15" s="155" t="s">
        <v>3</v>
      </c>
      <c r="K15" s="156" t="s">
        <v>3</v>
      </c>
      <c r="L15" s="156">
        <f>SUM(L9:L14)</f>
        <v>0.58152700000000002</v>
      </c>
      <c r="M15" s="156">
        <f>((SUM(Dat_01!J8,Dat_01!J15:J18,Dat_01!J21)/SUM(Dat_01!K8,Dat_01!K15:K18,Dat_01!K20))-1)*100</f>
        <v>34.696917054640622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1.554179</v>
      </c>
      <c r="G16" s="14">
        <f>Dat_01!T9*100</f>
        <v>-97.170383760000007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51.149709999999999</v>
      </c>
      <c r="G17" s="20">
        <f>((SUM(Dat_01!R10,Dat_01!R14)/SUM(Dat_01!S10,Dat_01!S14))-1)*100</f>
        <v>-11.226853746097888</v>
      </c>
      <c r="H17" s="139">
        <f>SUM(Dat_01!Z10,Dat_01!Z14)/1000</f>
        <v>156.974729</v>
      </c>
      <c r="I17" s="20">
        <f>((SUM(Dat_01!Z10,Dat_01!Z14)/SUM(Dat_01!AA10,Dat_01!AA14))-1)*100</f>
        <v>6.5165192020183227</v>
      </c>
      <c r="J17" s="139">
        <f>Dat_01!B10/1000</f>
        <v>16.878900000000002</v>
      </c>
      <c r="K17" s="20">
        <f>Dat_01!D10*100</f>
        <v>-0.8271251300000001</v>
      </c>
      <c r="L17" s="139">
        <f>Dat_01!J10/1000</f>
        <v>19.277716999999999</v>
      </c>
      <c r="M17" s="20">
        <f>Dat_01!L10*100</f>
        <v>-8.5639047999999995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52.282953999999997</v>
      </c>
      <c r="G18" s="20">
        <f>Dat_01!T11*100</f>
        <v>-22.040509270000001</v>
      </c>
      <c r="H18" s="139">
        <f>Dat_01!Z11/1000</f>
        <v>16.279032000000001</v>
      </c>
      <c r="I18" s="20">
        <f>Dat_01!AB11*100</f>
        <v>5.8472922900000004</v>
      </c>
      <c r="J18" s="139">
        <f>Dat_01!B11/1000</f>
        <v>2.2216E-2</v>
      </c>
      <c r="K18" s="20">
        <f>IF(Dat_01!D11=-100%,"-",Dat_01!D11*100)</f>
        <v>215.65785735</v>
      </c>
      <c r="L18" s="139">
        <f>Dat_01!J11/1000</f>
        <v>2.9315999999999998E-2</v>
      </c>
      <c r="M18" s="20">
        <f>IF(Dat_01!L11*100=-100,"-",Dat_01!L11*100)</f>
        <v>213.67429916999998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105.68064699999999</v>
      </c>
      <c r="I19" s="20">
        <f>Dat_01!AB12*100</f>
        <v>4.5661816799999997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103.43266399999999</v>
      </c>
      <c r="G20" s="14">
        <f>((SUM(Dat_01!R10:R12,Dat_01!R14)/SUM(Dat_01!S10:S12,Dat_01!S14))-1)*100</f>
        <v>-17.043296148518817</v>
      </c>
      <c r="H20" s="138">
        <f>SUM(H17:H19)</f>
        <v>278.93440799999996</v>
      </c>
      <c r="I20" s="14">
        <f>(H20/(H17/(I17/100+1)+H18/(I18/100+1)+H19/(I19/100+1))-1)*100</f>
        <v>5.7303487879929671</v>
      </c>
      <c r="J20" s="138">
        <f>SUM(J17:J19)</f>
        <v>16.901116000000002</v>
      </c>
      <c r="K20" s="14">
        <f>((SUM(Dat_01!B10:B12)/SUM(Dat_01!C10:C12))-1)*100</f>
        <v>-0.73764094911570321</v>
      </c>
      <c r="L20" s="138">
        <f>SUM(L17:L19)</f>
        <v>19.307033000000001</v>
      </c>
      <c r="M20" s="14">
        <f>((SUM(Dat_01!J10:J12)/SUM(Dat_01!K10:K12))-1)*100</f>
        <v>-8.4654324968920456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272.94692200000003</v>
      </c>
      <c r="G21" s="14">
        <f>Dat_01!T13*100</f>
        <v>-13.721331319999999</v>
      </c>
      <c r="H21" s="138">
        <f>Dat_01!Z13/1000</f>
        <v>264.10926400000005</v>
      </c>
      <c r="I21" s="14">
        <f>Dat_01!AB13*100</f>
        <v>5.4239649500000002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3.2774670000000001</v>
      </c>
      <c r="G22" s="14">
        <f>Dat_01!T19*100</f>
        <v>3.0794894799999999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15.726691000000001</v>
      </c>
      <c r="G23" s="14">
        <f>Dat_01!T20*100</f>
        <v>25.400248910000002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0.57366099999999998</v>
      </c>
      <c r="M23" s="14">
        <f>Dat_01!L20*100</f>
        <v>35.42708348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396.93792300000001</v>
      </c>
      <c r="G24" s="156">
        <f>((SUM(Dat_01!R9:R14,Dat_01!R19,Dat_01!R21)/SUM(Dat_01!S9:S14,Dat_01!S19,Dat_01!S21))-1)*100</f>
        <v>-22.425174004290017</v>
      </c>
      <c r="H24" s="140">
        <f>SUM(H16,H20:H23)</f>
        <v>543.04367200000002</v>
      </c>
      <c r="I24" s="156">
        <f>((SUM(Dat_01!Z9:Z14,Dat_01!Z19,Dat_01!Z21)/SUM(Dat_01!AA9:AA14,Dat_01!AA19,Dat_01!AA21))-1)*100</f>
        <v>5.5811168982667692</v>
      </c>
      <c r="J24" s="140">
        <f>SUM(J16,J20:J23)</f>
        <v>16.901116000000002</v>
      </c>
      <c r="K24" s="156">
        <f>((SUM(Dat_01!B9:B14,Dat_01!B19,Dat_01!B21)/SUM(Dat_01!C9:C14,Dat_01!C19,Dat_01!C21))-1)*100</f>
        <v>-0.73764094911570321</v>
      </c>
      <c r="L24" s="140">
        <f>SUM(L16,L20:L23)</f>
        <v>19.880694000000002</v>
      </c>
      <c r="M24" s="156">
        <f>((SUM(Dat_01!J9:J14,Dat_01!J19,Dat_01!J21)/SUM(Dat_01!K9:K14,Dat_01!K19,Dat_01!K21))-1)*100</f>
        <v>-7.6013115322179576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208.454387</v>
      </c>
      <c r="G25" s="11">
        <f>Dat_01!T23*100</f>
        <v>23.67670021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681.44290599999999</v>
      </c>
      <c r="G26" s="8">
        <f>Dat_01!T24*100</f>
        <v>-7.2275022099999999</v>
      </c>
      <c r="H26" s="142">
        <f>Dat_01!Z24/1000</f>
        <v>759.65783099999999</v>
      </c>
      <c r="I26" s="8">
        <f>Dat_01!AB24*100</f>
        <v>-0.41522223000000003</v>
      </c>
      <c r="J26" s="142">
        <f>Dat_01!B24/1000</f>
        <v>16.901116000000002</v>
      </c>
      <c r="K26" s="8">
        <f>Dat_01!D24*100</f>
        <v>-0.73764095000000007</v>
      </c>
      <c r="L26" s="142">
        <f>Dat_01!J24/1000</f>
        <v>20.462221000000003</v>
      </c>
      <c r="M26" s="8">
        <f>Dat_01!L24*100</f>
        <v>-6.76927828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5" sqref="I24:I25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Julio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Julio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15" sqref="H15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Julio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Julio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80" zoomScaleNormal="80" workbookViewId="0">
      <selection activeCell="A2" sqref="A2"/>
    </sheetView>
  </sheetViews>
  <sheetFormatPr baseColWidth="10" defaultColWidth="11.42578125" defaultRowHeight="12"/>
  <cols>
    <col min="1" max="1" width="7.42578125" style="102" bestFit="1" customWidth="1"/>
    <col min="2" max="2" width="13.28515625" style="102" bestFit="1" customWidth="1"/>
    <col min="3" max="3" width="24.5703125" style="102" bestFit="1" customWidth="1"/>
    <col min="4" max="4" width="20.42578125" style="102" bestFit="1" customWidth="1"/>
    <col min="5" max="5" width="20.85546875" style="102" bestFit="1" customWidth="1"/>
    <col min="6" max="6" width="33.28515625" style="102" bestFit="1" customWidth="1"/>
    <col min="7" max="7" width="24.5703125" style="102" bestFit="1" customWidth="1"/>
    <col min="8" max="8" width="20.42578125" style="102" bestFit="1" customWidth="1"/>
    <col min="9" max="9" width="20.85546875" style="102" bestFit="1" customWidth="1"/>
    <col min="10" max="10" width="28.85546875" style="102" bestFit="1" customWidth="1"/>
    <col min="11" max="11" width="29" style="102" bestFit="1" customWidth="1"/>
    <col min="12" max="12" width="24.7109375" style="102" bestFit="1" customWidth="1"/>
    <col min="13" max="13" width="25.42578125" style="102" bestFit="1" customWidth="1"/>
    <col min="14" max="14" width="33.28515625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124</v>
      </c>
      <c r="B2" s="133" t="s">
        <v>125</v>
      </c>
    </row>
    <row r="4" spans="1:33" ht="15">
      <c r="A4" s="134" t="s">
        <v>67</v>
      </c>
      <c r="B4" s="199" t="s">
        <v>124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290.60300000000001</v>
      </c>
      <c r="AA8" s="169">
        <v>301.86599999999999</v>
      </c>
      <c r="AB8" s="170">
        <v>-3.7311257299999998E-2</v>
      </c>
      <c r="AC8" s="169">
        <v>1960.806</v>
      </c>
      <c r="AD8" s="169">
        <v>1978.7260000000001</v>
      </c>
      <c r="AE8" s="170">
        <v>-9.0563321999999995E-3</v>
      </c>
      <c r="AF8" s="169">
        <v>3428.9769999999999</v>
      </c>
      <c r="AG8" s="170">
        <v>2.4891367000000001E-3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1554.1790000000001</v>
      </c>
      <c r="S9" s="169">
        <v>54925.434000000001</v>
      </c>
      <c r="T9" s="170">
        <v>-0.97170383760000001</v>
      </c>
      <c r="U9" s="169">
        <v>47028.775999999998</v>
      </c>
      <c r="V9" s="169">
        <v>54710.73</v>
      </c>
      <c r="W9" s="170">
        <v>-0.1404103729</v>
      </c>
      <c r="X9" s="169">
        <v>52810.078000000001</v>
      </c>
      <c r="Y9" s="170">
        <v>-8.2267673799999996E-2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16878.900000000001</v>
      </c>
      <c r="C10" s="169">
        <v>17019.673999999999</v>
      </c>
      <c r="D10" s="170">
        <v>-8.2712513000000008E-3</v>
      </c>
      <c r="E10" s="169">
        <v>106573.702</v>
      </c>
      <c r="F10" s="169">
        <v>107664.334</v>
      </c>
      <c r="G10" s="170">
        <v>-1.01299284E-2</v>
      </c>
      <c r="H10" s="169">
        <v>184913.31200000001</v>
      </c>
      <c r="I10" s="170">
        <v>-1.10088029E-2</v>
      </c>
      <c r="J10" s="169">
        <v>19277.717000000001</v>
      </c>
      <c r="K10" s="169">
        <v>21083.268</v>
      </c>
      <c r="L10" s="170">
        <v>-8.5639047999999995E-2</v>
      </c>
      <c r="M10" s="169">
        <v>106211.458</v>
      </c>
      <c r="N10" s="169">
        <v>108394.844</v>
      </c>
      <c r="O10" s="170">
        <v>-2.0142895399999999E-2</v>
      </c>
      <c r="P10" s="169">
        <v>188916.56299999999</v>
      </c>
      <c r="Q10" s="170">
        <v>1.1188507699999999E-2</v>
      </c>
      <c r="R10" s="169">
        <v>51149.71</v>
      </c>
      <c r="S10" s="169">
        <v>57618.449000000001</v>
      </c>
      <c r="T10" s="170">
        <v>-0.1122685375</v>
      </c>
      <c r="U10" s="169">
        <v>114671.66</v>
      </c>
      <c r="V10" s="169">
        <v>124461.004</v>
      </c>
      <c r="W10" s="170">
        <v>-7.8653905100000004E-2</v>
      </c>
      <c r="X10" s="169">
        <v>241622.65100000001</v>
      </c>
      <c r="Y10" s="170">
        <v>-1.8944982799999999E-2</v>
      </c>
      <c r="Z10" s="169">
        <v>156974.72899999999</v>
      </c>
      <c r="AA10" s="169">
        <v>147371.253</v>
      </c>
      <c r="AB10" s="170">
        <v>6.5165191999999997E-2</v>
      </c>
      <c r="AC10" s="169">
        <v>1061535.7620000001</v>
      </c>
      <c r="AD10" s="169">
        <v>1051535.7609999999</v>
      </c>
      <c r="AE10" s="170">
        <v>9.5099009999999994E-3</v>
      </c>
      <c r="AF10" s="169">
        <v>1892861.5449999999</v>
      </c>
      <c r="AG10" s="170">
        <v>4.0558658300000001E-2</v>
      </c>
    </row>
    <row r="11" spans="1:33">
      <c r="A11" s="133" t="s">
        <v>9</v>
      </c>
      <c r="B11" s="169">
        <v>22.216000000000001</v>
      </c>
      <c r="C11" s="169">
        <v>7.0380000000000003</v>
      </c>
      <c r="D11" s="170">
        <v>2.1565785735</v>
      </c>
      <c r="E11" s="169">
        <v>325.56599999999997</v>
      </c>
      <c r="F11" s="169">
        <v>43.960999999999999</v>
      </c>
      <c r="G11" s="170">
        <v>6.4057914970000001</v>
      </c>
      <c r="H11" s="169">
        <v>534.84400000000005</v>
      </c>
      <c r="I11" s="170">
        <v>0.32771311050000002</v>
      </c>
      <c r="J11" s="169">
        <v>29.315999999999999</v>
      </c>
      <c r="K11" s="169">
        <v>9.3460000000000001</v>
      </c>
      <c r="L11" s="170">
        <v>2.1367429916999998</v>
      </c>
      <c r="M11" s="169">
        <v>248.59</v>
      </c>
      <c r="N11" s="169">
        <v>34.052999999999997</v>
      </c>
      <c r="O11" s="170">
        <v>6.3000910346000003</v>
      </c>
      <c r="P11" s="169">
        <v>258.673</v>
      </c>
      <c r="Q11" s="170">
        <v>5.1363808890999998</v>
      </c>
      <c r="R11" s="169">
        <v>52282.953999999998</v>
      </c>
      <c r="S11" s="169">
        <v>67064.258000000002</v>
      </c>
      <c r="T11" s="170">
        <v>-0.2204050927</v>
      </c>
      <c r="U11" s="169">
        <v>228407.027</v>
      </c>
      <c r="V11" s="169">
        <v>304420.58799999999</v>
      </c>
      <c r="W11" s="170">
        <v>-0.2496991465</v>
      </c>
      <c r="X11" s="169">
        <v>422160.36300000001</v>
      </c>
      <c r="Y11" s="170">
        <v>-0.18958242080000001</v>
      </c>
      <c r="Z11" s="169">
        <v>16279.031999999999</v>
      </c>
      <c r="AA11" s="169">
        <v>15379.734</v>
      </c>
      <c r="AB11" s="170">
        <v>5.8472922900000002E-2</v>
      </c>
      <c r="AC11" s="169">
        <v>145164.22399999999</v>
      </c>
      <c r="AD11" s="169">
        <v>139501.30900000001</v>
      </c>
      <c r="AE11" s="170">
        <v>4.05939918E-2</v>
      </c>
      <c r="AF11" s="169">
        <v>261635.14300000001</v>
      </c>
      <c r="AG11" s="170">
        <v>-2.4239844199999999E-2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105680.647</v>
      </c>
      <c r="AA12" s="169">
        <v>101065.799</v>
      </c>
      <c r="AB12" s="170">
        <v>4.5661816799999998E-2</v>
      </c>
      <c r="AC12" s="169">
        <v>724233.14</v>
      </c>
      <c r="AD12" s="169">
        <v>699778.82</v>
      </c>
      <c r="AE12" s="170">
        <v>3.4945784700000003E-2</v>
      </c>
      <c r="AF12" s="169">
        <v>1242104.3160000001</v>
      </c>
      <c r="AG12" s="170">
        <v>-4.8967083000000002E-3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272946.92200000002</v>
      </c>
      <c r="S13" s="169">
        <v>316355.04599999997</v>
      </c>
      <c r="T13" s="170">
        <v>-0.13721331319999999</v>
      </c>
      <c r="U13" s="169">
        <v>1573951.9369999999</v>
      </c>
      <c r="V13" s="169">
        <v>1745242.8659999999</v>
      </c>
      <c r="W13" s="170">
        <v>-9.8147330899999996E-2</v>
      </c>
      <c r="X13" s="169">
        <v>2899940.696</v>
      </c>
      <c r="Y13" s="170">
        <v>-0.1373537417</v>
      </c>
      <c r="Z13" s="169">
        <v>264109.26400000002</v>
      </c>
      <c r="AA13" s="169">
        <v>250521.08799999999</v>
      </c>
      <c r="AB13" s="170">
        <v>5.4239649500000001E-2</v>
      </c>
      <c r="AC13" s="169">
        <v>2046337.9439999999</v>
      </c>
      <c r="AD13" s="169">
        <v>2010448.358</v>
      </c>
      <c r="AE13" s="170">
        <v>1.7851533400000001E-2</v>
      </c>
      <c r="AF13" s="169">
        <v>3732607.2370000002</v>
      </c>
      <c r="AG13" s="170">
        <v>5.7896351499999998E-2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0</v>
      </c>
      <c r="AB14" s="170">
        <v>0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3511.3029999999999</v>
      </c>
      <c r="AA15" s="169">
        <v>2759.0569999999998</v>
      </c>
      <c r="AB15" s="170">
        <v>0.27264605260000002</v>
      </c>
      <c r="AC15" s="169">
        <v>13359.388000000001</v>
      </c>
      <c r="AD15" s="169">
        <v>11259.617</v>
      </c>
      <c r="AE15" s="170">
        <v>0.1864868938</v>
      </c>
      <c r="AF15" s="169">
        <v>19576.543000000001</v>
      </c>
      <c r="AG15" s="170">
        <v>-8.2288480000000004E-3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118.565</v>
      </c>
      <c r="T16" s="170">
        <v>-1</v>
      </c>
      <c r="U16" s="169">
        <v>0</v>
      </c>
      <c r="V16" s="169">
        <v>1151.0609999999999</v>
      </c>
      <c r="W16" s="170">
        <v>-1</v>
      </c>
      <c r="X16" s="169">
        <v>117.009</v>
      </c>
      <c r="Y16" s="170">
        <v>-0.91174234369999996</v>
      </c>
      <c r="Z16" s="169">
        <v>169460.07699999999</v>
      </c>
      <c r="AA16" s="169">
        <v>209601.50700000001</v>
      </c>
      <c r="AB16" s="170">
        <v>-0.19151307910000001</v>
      </c>
      <c r="AC16" s="169">
        <v>792248.19799999997</v>
      </c>
      <c r="AD16" s="169">
        <v>816586.78300000005</v>
      </c>
      <c r="AE16" s="170">
        <v>-2.98052644E-2</v>
      </c>
      <c r="AF16" s="169">
        <v>1301508.747</v>
      </c>
      <c r="AG16" s="170">
        <v>-3.7085945000000002E-2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7.8659999999999997</v>
      </c>
      <c r="K17" s="169">
        <v>8.1359999999999992</v>
      </c>
      <c r="L17" s="170">
        <v>-3.3185840699999997E-2</v>
      </c>
      <c r="M17" s="169">
        <v>44.609000000000002</v>
      </c>
      <c r="N17" s="169">
        <v>47.914999999999999</v>
      </c>
      <c r="O17" s="170">
        <v>-6.8997182500000004E-2</v>
      </c>
      <c r="P17" s="169">
        <v>73.221000000000004</v>
      </c>
      <c r="Q17" s="170">
        <v>-1.53570996E-2</v>
      </c>
      <c r="R17" s="169">
        <v>60139.88</v>
      </c>
      <c r="S17" s="169">
        <v>41537.353000000003</v>
      </c>
      <c r="T17" s="170">
        <v>0.44785056480000002</v>
      </c>
      <c r="U17" s="169">
        <v>316324.57900000003</v>
      </c>
      <c r="V17" s="169">
        <v>229021.32199999999</v>
      </c>
      <c r="W17" s="170">
        <v>0.38120143680000002</v>
      </c>
      <c r="X17" s="169">
        <v>476242.91499999998</v>
      </c>
      <c r="Y17" s="170">
        <v>0.39931188849999999</v>
      </c>
      <c r="Z17" s="169">
        <v>42728.756000000001</v>
      </c>
      <c r="AA17" s="169">
        <v>35178.874000000003</v>
      </c>
      <c r="AB17" s="170">
        <v>0.21461408909999999</v>
      </c>
      <c r="AC17" s="169">
        <v>233232.223</v>
      </c>
      <c r="AD17" s="169">
        <v>202167.571</v>
      </c>
      <c r="AE17" s="170">
        <v>0.15365793759999999</v>
      </c>
      <c r="AF17" s="169">
        <v>377034.05300000001</v>
      </c>
      <c r="AG17" s="170">
        <v>0.14208712070000001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184.02500000000001</v>
      </c>
      <c r="S18" s="169">
        <v>102.288</v>
      </c>
      <c r="T18" s="170">
        <v>0.79908689190000004</v>
      </c>
      <c r="U18" s="169">
        <v>502.80599999999998</v>
      </c>
      <c r="V18" s="169">
        <v>911.95699999999999</v>
      </c>
      <c r="W18" s="170">
        <v>-0.44865163600000002</v>
      </c>
      <c r="X18" s="169">
        <v>1153.954</v>
      </c>
      <c r="Y18" s="170">
        <v>-0.16207155209999999</v>
      </c>
      <c r="Z18" s="169">
        <v>623.41999999999996</v>
      </c>
      <c r="AA18" s="169">
        <v>646.07299999999998</v>
      </c>
      <c r="AB18" s="170">
        <v>-3.5062601300000003E-2</v>
      </c>
      <c r="AC18" s="169">
        <v>3394.5810000000001</v>
      </c>
      <c r="AD18" s="169">
        <v>4826.3599999999997</v>
      </c>
      <c r="AE18" s="170">
        <v>-0.29665814400000001</v>
      </c>
      <c r="AF18" s="169">
        <v>5536.1790000000001</v>
      </c>
      <c r="AG18" s="170">
        <v>-0.35153281510000001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3277.4670000000001</v>
      </c>
      <c r="S19" s="169">
        <v>3179.5529999999999</v>
      </c>
      <c r="T19" s="170">
        <v>3.07948948E-2</v>
      </c>
      <c r="U19" s="169">
        <v>23349.611000000001</v>
      </c>
      <c r="V19" s="169">
        <v>23521.446</v>
      </c>
      <c r="W19" s="170">
        <v>-7.3054607000000004E-3</v>
      </c>
      <c r="X19" s="169">
        <v>36793.629999999997</v>
      </c>
      <c r="Y19" s="170">
        <v>0.1199698749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573.66099999999994</v>
      </c>
      <c r="K20" s="169">
        <v>423.59399999999999</v>
      </c>
      <c r="L20" s="170">
        <v>0.35427083479999999</v>
      </c>
      <c r="M20" s="169">
        <v>3570.6864999999998</v>
      </c>
      <c r="N20" s="169">
        <v>3221.5014999999999</v>
      </c>
      <c r="O20" s="170">
        <v>0.10839200290000001</v>
      </c>
      <c r="P20" s="169">
        <v>5762.96</v>
      </c>
      <c r="Q20" s="170">
        <v>3.8756634099999999E-2</v>
      </c>
      <c r="R20" s="169">
        <v>15726.691000000001</v>
      </c>
      <c r="S20" s="169">
        <v>12541.196</v>
      </c>
      <c r="T20" s="170">
        <v>0.25400248910000001</v>
      </c>
      <c r="U20" s="169">
        <v>84832.432000000001</v>
      </c>
      <c r="V20" s="169">
        <v>77854.372499999998</v>
      </c>
      <c r="W20" s="170">
        <v>8.9629641499999996E-2</v>
      </c>
      <c r="X20" s="169">
        <v>140113.06</v>
      </c>
      <c r="Y20" s="170">
        <v>2.3159544099999999E-2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573.66099999999994</v>
      </c>
      <c r="K21" s="169">
        <v>423.59399999999999</v>
      </c>
      <c r="L21" s="170">
        <v>0.35427083479999999</v>
      </c>
      <c r="M21" s="169">
        <v>3570.6864999999998</v>
      </c>
      <c r="N21" s="169">
        <v>3221.5014999999999</v>
      </c>
      <c r="O21" s="170">
        <v>0.10839200290000001</v>
      </c>
      <c r="P21" s="169">
        <v>5762.96</v>
      </c>
      <c r="Q21" s="170">
        <v>3.8756634099999999E-2</v>
      </c>
      <c r="R21" s="169">
        <v>15726.691000000001</v>
      </c>
      <c r="S21" s="169">
        <v>12541.196</v>
      </c>
      <c r="T21" s="170">
        <v>0.25400248910000001</v>
      </c>
      <c r="U21" s="169">
        <v>84832.432000000001</v>
      </c>
      <c r="V21" s="169">
        <v>77854.372499999998</v>
      </c>
      <c r="W21" s="170">
        <v>8.9629641499999996E-2</v>
      </c>
      <c r="X21" s="169">
        <v>140113.06</v>
      </c>
      <c r="Y21" s="170">
        <v>2.3159544099999999E-2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16901.116000000002</v>
      </c>
      <c r="C22" s="171">
        <v>17026.712</v>
      </c>
      <c r="D22" s="172">
        <v>-7.3764095000000002E-3</v>
      </c>
      <c r="E22" s="171">
        <v>106899.268</v>
      </c>
      <c r="F22" s="171">
        <v>107708.295</v>
      </c>
      <c r="G22" s="172">
        <v>-7.5112785000000003E-3</v>
      </c>
      <c r="H22" s="171">
        <v>185448.15599999999</v>
      </c>
      <c r="I22" s="172">
        <v>-1.0280594400000001E-2</v>
      </c>
      <c r="J22" s="171">
        <v>20462.221000000001</v>
      </c>
      <c r="K22" s="171">
        <v>21947.937999999998</v>
      </c>
      <c r="L22" s="172">
        <v>-6.7692782800000004E-2</v>
      </c>
      <c r="M22" s="171">
        <v>113646.03</v>
      </c>
      <c r="N22" s="171">
        <v>114919.815</v>
      </c>
      <c r="O22" s="172">
        <v>-1.10841198E-2</v>
      </c>
      <c r="P22" s="171">
        <v>200774.37700000001</v>
      </c>
      <c r="Q22" s="172">
        <v>1.3814086E-2</v>
      </c>
      <c r="R22" s="171">
        <v>472988.51899999997</v>
      </c>
      <c r="S22" s="171">
        <v>565983.33799999999</v>
      </c>
      <c r="T22" s="172">
        <v>-0.16430663719999999</v>
      </c>
      <c r="U22" s="171">
        <v>2473901.2599999998</v>
      </c>
      <c r="V22" s="171">
        <v>2639149.719</v>
      </c>
      <c r="W22" s="172">
        <v>-6.2614279800000006E-2</v>
      </c>
      <c r="X22" s="171">
        <v>4411067.4160000002</v>
      </c>
      <c r="Y22" s="172">
        <v>-8.9683756099999998E-2</v>
      </c>
      <c r="Z22" s="171">
        <v>759657.83100000001</v>
      </c>
      <c r="AA22" s="171">
        <v>762825.25100000005</v>
      </c>
      <c r="AB22" s="172">
        <v>-4.1522223000000002E-3</v>
      </c>
      <c r="AC22" s="171">
        <v>5021466.2659999998</v>
      </c>
      <c r="AD22" s="171">
        <v>4938017.3169999998</v>
      </c>
      <c r="AE22" s="172">
        <v>1.68992824E-2</v>
      </c>
      <c r="AF22" s="171">
        <v>8836292.7400000002</v>
      </c>
      <c r="AG22" s="172">
        <v>3.0219336199999999E-2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208454.38699999999</v>
      </c>
      <c r="S23" s="169">
        <v>168547.82399999999</v>
      </c>
      <c r="T23" s="170">
        <v>0.23676700210000001</v>
      </c>
      <c r="U23" s="169">
        <v>929117.29299999995</v>
      </c>
      <c r="V23" s="169">
        <v>805572.48899999994</v>
      </c>
      <c r="W23" s="170">
        <v>0.15336273980000001</v>
      </c>
      <c r="X23" s="169">
        <v>1549604.7339999999</v>
      </c>
      <c r="Y23" s="170">
        <v>0.34630143219999998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16901.116000000002</v>
      </c>
      <c r="C24" s="171">
        <v>17026.712</v>
      </c>
      <c r="D24" s="172">
        <v>-7.3764095000000002E-3</v>
      </c>
      <c r="E24" s="171">
        <v>106899.268</v>
      </c>
      <c r="F24" s="171">
        <v>107708.295</v>
      </c>
      <c r="G24" s="172">
        <v>-7.5112785000000003E-3</v>
      </c>
      <c r="H24" s="171">
        <v>185448.15599999999</v>
      </c>
      <c r="I24" s="172">
        <v>-1.0280594400000001E-2</v>
      </c>
      <c r="J24" s="171">
        <v>20462.221000000001</v>
      </c>
      <c r="K24" s="171">
        <v>21947.937999999998</v>
      </c>
      <c r="L24" s="172">
        <v>-6.7692782800000004E-2</v>
      </c>
      <c r="M24" s="171">
        <v>113646.03</v>
      </c>
      <c r="N24" s="171">
        <v>114919.815</v>
      </c>
      <c r="O24" s="172">
        <v>-1.10841198E-2</v>
      </c>
      <c r="P24" s="171">
        <v>200774.37700000001</v>
      </c>
      <c r="Q24" s="172">
        <v>1.3814086E-2</v>
      </c>
      <c r="R24" s="171">
        <v>681442.90599999996</v>
      </c>
      <c r="S24" s="171">
        <v>734531.16200000001</v>
      </c>
      <c r="T24" s="172">
        <v>-7.2275022100000003E-2</v>
      </c>
      <c r="U24" s="171">
        <v>3403018.5529999998</v>
      </c>
      <c r="V24" s="171">
        <v>3444722.2080000001</v>
      </c>
      <c r="W24" s="172">
        <v>-1.2106536500000001E-2</v>
      </c>
      <c r="X24" s="171">
        <v>5960672.1500000004</v>
      </c>
      <c r="Y24" s="172">
        <v>-5.9999271999999996E-3</v>
      </c>
      <c r="Z24" s="171">
        <v>759657.83100000001</v>
      </c>
      <c r="AA24" s="171">
        <v>762825.25100000005</v>
      </c>
      <c r="AB24" s="172">
        <v>-4.1522223000000002E-3</v>
      </c>
      <c r="AC24" s="171">
        <v>5021466.2659999998</v>
      </c>
      <c r="AD24" s="171">
        <v>4938017.3169999998</v>
      </c>
      <c r="AE24" s="172">
        <v>1.68992824E-2</v>
      </c>
      <c r="AF24" s="171">
        <v>8836292.7400000002</v>
      </c>
      <c r="AG24" s="172">
        <v>3.0219336199999999E-2</v>
      </c>
    </row>
    <row r="25" spans="1:33">
      <c r="R25" s="162">
        <f>SUM(R10,R14)</f>
        <v>51149.71</v>
      </c>
      <c r="S25" s="162">
        <f>SUM(S10,S14)</f>
        <v>57618.449000000001</v>
      </c>
      <c r="T25" s="163">
        <f>((R25/S25)-1)*100</f>
        <v>-11.226853746097888</v>
      </c>
    </row>
    <row r="26" spans="1:33">
      <c r="A26" s="102" t="s">
        <v>103</v>
      </c>
      <c r="B26" s="162">
        <f>SUM(B24,J24,R24,Z24)</f>
        <v>1478464.074</v>
      </c>
      <c r="C26" s="162">
        <f>SUM(C24,K24,S24,AA24)</f>
        <v>1536331.0630000001</v>
      </c>
      <c r="D26" s="163">
        <f>((B26/C26)-1)*100</f>
        <v>-3.7665702655912514</v>
      </c>
      <c r="R26" s="179">
        <f>R23/R24</f>
        <v>0.30590147048944405</v>
      </c>
      <c r="S26" s="179">
        <f>S23/S24</f>
        <v>0.22946313610585795</v>
      </c>
      <c r="Z26" s="163"/>
    </row>
    <row r="29" spans="1:33" ht="15">
      <c r="A29" s="134" t="s">
        <v>67</v>
      </c>
      <c r="B29" s="199" t="str">
        <f>A2</f>
        <v>Julio 2024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644.71</v>
      </c>
      <c r="D41" s="167"/>
    </row>
    <row r="42" spans="1:4">
      <c r="A42" s="133" t="s">
        <v>4</v>
      </c>
      <c r="B42" s="176">
        <v>336.82939499999998</v>
      </c>
      <c r="C42" s="176">
        <v>264.93394499999999</v>
      </c>
      <c r="D42" s="167"/>
    </row>
    <row r="43" spans="1:4">
      <c r="A43" s="133" t="s">
        <v>22</v>
      </c>
      <c r="B43" s="176">
        <v>3.9319999999999999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2237.2518950000003</v>
      </c>
      <c r="C47" s="177">
        <f>SUM(C33:C46)</f>
        <v>3324.5499450000002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10.78108372772213</v>
      </c>
      <c r="D52" s="165"/>
      <c r="F52" s="105" t="s">
        <v>10</v>
      </c>
      <c r="G52" s="106">
        <f>C35</f>
        <v>487.64</v>
      </c>
      <c r="H52" s="107">
        <f>G52/$G$62*100</f>
        <v>14.667850026840249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6.2308585059886612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15.663774303742636</v>
      </c>
    </row>
    <row r="54" spans="1:8">
      <c r="A54" s="105" t="s">
        <v>9</v>
      </c>
      <c r="B54" s="106">
        <f t="shared" si="1"/>
        <v>603.1</v>
      </c>
      <c r="C54" s="107">
        <f t="shared" si="0"/>
        <v>26.957179088678345</v>
      </c>
      <c r="D54" s="165"/>
      <c r="F54" s="105" t="s">
        <v>8</v>
      </c>
      <c r="G54" s="106">
        <f>C37</f>
        <v>482.64</v>
      </c>
      <c r="H54" s="107">
        <f t="shared" si="2"/>
        <v>14.517453730116845</v>
      </c>
    </row>
    <row r="55" spans="1:8">
      <c r="A55" s="105" t="s">
        <v>25</v>
      </c>
      <c r="B55" s="106">
        <f>B38</f>
        <v>822.9</v>
      </c>
      <c r="C55" s="107">
        <f t="shared" si="0"/>
        <v>36.781732170574379</v>
      </c>
      <c r="D55" s="165"/>
      <c r="F55" s="105" t="s">
        <v>25</v>
      </c>
      <c r="G55" s="106">
        <f>C38</f>
        <v>865.4</v>
      </c>
      <c r="H55" s="107">
        <f t="shared" si="2"/>
        <v>26.030591036886946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1.1490277069668149</v>
      </c>
    </row>
    <row r="57" spans="1:8">
      <c r="A57" s="105" t="s">
        <v>23</v>
      </c>
      <c r="B57" s="106">
        <f>B44</f>
        <v>11.523</v>
      </c>
      <c r="C57" s="107">
        <f t="shared" si="0"/>
        <v>0.51505152485299388</v>
      </c>
      <c r="D57" s="165"/>
      <c r="F57" s="105" t="s">
        <v>12</v>
      </c>
      <c r="G57" s="107">
        <f>C33</f>
        <v>1.52</v>
      </c>
      <c r="H57" s="107">
        <f t="shared" si="2"/>
        <v>4.5720474203915139E-2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1.6716937455091527</v>
      </c>
      <c r="D58" s="165"/>
      <c r="F58" s="105" t="s">
        <v>6</v>
      </c>
      <c r="G58" s="106">
        <f>C40</f>
        <v>11.32</v>
      </c>
      <c r="H58" s="107">
        <f t="shared" si="2"/>
        <v>0.3404972157817891</v>
      </c>
    </row>
    <row r="59" spans="1:8">
      <c r="A59" s="105" t="s">
        <v>54</v>
      </c>
      <c r="B59" s="106">
        <f>B45</f>
        <v>37.4</v>
      </c>
      <c r="C59" s="107">
        <f t="shared" si="3"/>
        <v>1.6716937455091527</v>
      </c>
      <c r="D59" s="165"/>
      <c r="F59" s="105" t="s">
        <v>5</v>
      </c>
      <c r="G59" s="106">
        <f>C41</f>
        <v>644.71</v>
      </c>
      <c r="H59" s="107">
        <f t="shared" si="2"/>
        <v>19.392399292109296</v>
      </c>
    </row>
    <row r="60" spans="1:8">
      <c r="A60" s="105" t="s">
        <v>5</v>
      </c>
      <c r="B60" s="106">
        <f>B41</f>
        <v>3.5674999999999999</v>
      </c>
      <c r="C60" s="107">
        <f t="shared" si="3"/>
        <v>0.15945902238245729</v>
      </c>
      <c r="D60" s="165"/>
      <c r="F60" s="105" t="s">
        <v>4</v>
      </c>
      <c r="G60" s="106">
        <f>C42</f>
        <v>264.93394499999999</v>
      </c>
      <c r="H60" s="107">
        <f t="shared" si="2"/>
        <v>7.9690168408644553</v>
      </c>
    </row>
    <row r="61" spans="1:8">
      <c r="A61" s="105" t="s">
        <v>4</v>
      </c>
      <c r="B61" s="106">
        <f>B42</f>
        <v>336.82939499999998</v>
      </c>
      <c r="C61" s="107">
        <f t="shared" si="3"/>
        <v>15.055497137035612</v>
      </c>
      <c r="D61" s="165"/>
      <c r="F61" s="105" t="s">
        <v>22</v>
      </c>
      <c r="G61" s="106">
        <f>C43</f>
        <v>7.4359999999999999</v>
      </c>
      <c r="H61" s="107">
        <f t="shared" si="2"/>
        <v>0.22366937248704802</v>
      </c>
    </row>
    <row r="62" spans="1:8">
      <c r="A62" s="105" t="s">
        <v>22</v>
      </c>
      <c r="B62" s="106">
        <f>B43</f>
        <v>3.9319999999999999</v>
      </c>
      <c r="C62" s="107">
        <f t="shared" si="3"/>
        <v>0.17575133174711202</v>
      </c>
      <c r="D62" s="165"/>
      <c r="F62" s="108" t="s">
        <v>20</v>
      </c>
      <c r="G62" s="109">
        <f>SUM(G52:G61)</f>
        <v>3324.5499450000002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2237.2518949999999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0.2280717850777656</v>
      </c>
      <c r="C68" s="106">
        <f>IF(R9&lt;0,0,R9)</f>
        <v>1554.1790000000001</v>
      </c>
      <c r="D68" s="180">
        <f>(C68/SUM($C$68:$C$78))*100</f>
        <v>0.32858704547118189</v>
      </c>
      <c r="F68" s="105" t="s">
        <v>10</v>
      </c>
      <c r="G68" s="107">
        <f>SUM(Z10,Z14)/Z$24*100</f>
        <v>20.663872943080342</v>
      </c>
    </row>
    <row r="69" spans="1:7">
      <c r="A69" s="105" t="s">
        <v>10</v>
      </c>
      <c r="B69" s="107">
        <f t="shared" ref="B69:B78" si="4">C69/$C$80*100</f>
        <v>7.5060888519984106</v>
      </c>
      <c r="C69" s="106">
        <f>R10</f>
        <v>51149.71</v>
      </c>
      <c r="D69" s="180">
        <f t="shared" ref="D69:D78" si="5">(C69/SUM($C$68:$C$78))*100</f>
        <v>10.814154666616759</v>
      </c>
      <c r="F69" s="105" t="s">
        <v>9</v>
      </c>
      <c r="G69" s="107">
        <f>Z11/Z$24*100</f>
        <v>2.1429426954725885</v>
      </c>
    </row>
    <row r="70" spans="1:7">
      <c r="A70" s="105" t="s">
        <v>9</v>
      </c>
      <c r="B70" s="107">
        <f t="shared" si="4"/>
        <v>7.6723895046315143</v>
      </c>
      <c r="C70" s="106">
        <f>R11</f>
        <v>52282.953999999998</v>
      </c>
      <c r="D70" s="180">
        <f t="shared" si="5"/>
        <v>11.053746951519555</v>
      </c>
      <c r="F70" s="105" t="s">
        <v>8</v>
      </c>
      <c r="G70" s="107">
        <f>Z12/Z$24*100</f>
        <v>13.911611608200481</v>
      </c>
    </row>
    <row r="71" spans="1:7">
      <c r="A71" s="105" t="s">
        <v>25</v>
      </c>
      <c r="B71" s="107">
        <f t="shared" si="4"/>
        <v>40.054261273651008</v>
      </c>
      <c r="C71" s="106">
        <f>R13</f>
        <v>272946.92200000002</v>
      </c>
      <c r="D71" s="180">
        <f>(C71/SUM($C$68:$C$78))*100</f>
        <v>57.70688104165167</v>
      </c>
      <c r="F71" s="105" t="s">
        <v>25</v>
      </c>
      <c r="G71" s="107">
        <f>Z13/Z$24*100</f>
        <v>34.766871770719625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0.4809598824996793</v>
      </c>
      <c r="C73" s="106">
        <f>R19</f>
        <v>3277.4670000000001</v>
      </c>
      <c r="D73" s="180">
        <f t="shared" si="5"/>
        <v>0.69292739006208315</v>
      </c>
      <c r="F73" s="105" t="s">
        <v>12</v>
      </c>
      <c r="G73" s="107">
        <f>Z8/Z$24*100</f>
        <v>3.8254459855624132E-2</v>
      </c>
    </row>
    <row r="74" spans="1:7">
      <c r="A74" s="105" t="s">
        <v>55</v>
      </c>
      <c r="B74" s="107">
        <f t="shared" si="4"/>
        <v>2.3078515986488237</v>
      </c>
      <c r="C74" s="106">
        <f>R21</f>
        <v>15726.691000000001</v>
      </c>
      <c r="D74" s="180">
        <f t="shared" si="5"/>
        <v>3.3249625240903571</v>
      </c>
      <c r="F74" s="105" t="s">
        <v>6</v>
      </c>
      <c r="G74" s="107">
        <f>Z15/Z$24*100</f>
        <v>0.46222165515990055</v>
      </c>
    </row>
    <row r="75" spans="1:7">
      <c r="A75" s="105" t="s">
        <v>54</v>
      </c>
      <c r="B75" s="107">
        <f t="shared" si="4"/>
        <v>2.3078515986488237</v>
      </c>
      <c r="C75" s="106">
        <f>R20</f>
        <v>15726.691000000001</v>
      </c>
      <c r="D75" s="180">
        <f t="shared" si="5"/>
        <v>3.3249625240903571</v>
      </c>
      <c r="F75" s="105" t="s">
        <v>5</v>
      </c>
      <c r="G75" s="107">
        <f>Z16/Z$24*100</f>
        <v>22.307421852931572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5.6247371193097067</v>
      </c>
    </row>
    <row r="77" spans="1:7">
      <c r="A77" s="105" t="s">
        <v>4</v>
      </c>
      <c r="B77" s="107">
        <f t="shared" si="4"/>
        <v>8.8253732587833262</v>
      </c>
      <c r="C77" s="106">
        <f>R17</f>
        <v>60139.88</v>
      </c>
      <c r="D77" s="180">
        <f t="shared" si="5"/>
        <v>12.7148709924606</v>
      </c>
      <c r="F77" s="105" t="s">
        <v>22</v>
      </c>
      <c r="G77" s="107">
        <f>Z18/Z$24*100</f>
        <v>8.2065895270156161E-2</v>
      </c>
    </row>
    <row r="78" spans="1:7">
      <c r="A78" s="105" t="s">
        <v>22</v>
      </c>
      <c r="B78" s="107">
        <f t="shared" si="4"/>
        <v>2.7005197116249682E-2</v>
      </c>
      <c r="C78" s="106">
        <f>R18</f>
        <v>184.02500000000001</v>
      </c>
      <c r="D78" s="180">
        <f t="shared" si="5"/>
        <v>3.8906864037433431E-2</v>
      </c>
      <c r="F78" s="108" t="s">
        <v>20</v>
      </c>
      <c r="G78" s="110">
        <f>SUM(G68:G77)</f>
        <v>99.999999999999986</v>
      </c>
    </row>
    <row r="79" spans="1:7">
      <c r="A79" s="105" t="s">
        <v>21</v>
      </c>
      <c r="B79" s="107">
        <f>C79/$C$80*100</f>
        <v>30.590147048944406</v>
      </c>
      <c r="C79" s="106">
        <f>R23</f>
        <v>208454.38699999999</v>
      </c>
      <c r="D79" s="165"/>
    </row>
    <row r="80" spans="1:7">
      <c r="A80" s="108" t="s">
        <v>20</v>
      </c>
      <c r="B80" s="110">
        <f>SUM(B68:B79)</f>
        <v>100.00000000000001</v>
      </c>
      <c r="C80" s="109">
        <f>SUM(C68:C79)</f>
        <v>681442.90599999996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/>
      <c r="X85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128</v>
      </c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/>
      <c r="X87"/>
      <c r="Y87"/>
      <c r="Z87"/>
    </row>
    <row r="88" spans="1:26" ht="15">
      <c r="A88" s="210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1.554179</v>
      </c>
      <c r="V88" s="173">
        <v>0</v>
      </c>
      <c r="W88"/>
      <c r="X88"/>
      <c r="Y88"/>
      <c r="Z88"/>
    </row>
    <row r="89" spans="1:26" ht="15">
      <c r="A89" s="211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51.149709999999999</v>
      </c>
      <c r="V89" s="173">
        <v>28.120352</v>
      </c>
      <c r="W89"/>
      <c r="X89"/>
      <c r="Y89"/>
      <c r="Z89"/>
    </row>
    <row r="90" spans="1:26" ht="15">
      <c r="A90" s="211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52.282953999999997</v>
      </c>
      <c r="V90" s="173">
        <v>20.982858</v>
      </c>
      <c r="W90"/>
      <c r="X90"/>
      <c r="Y90"/>
      <c r="Z90"/>
    </row>
    <row r="91" spans="1:26" ht="15">
      <c r="A91" s="211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272.94692199999997</v>
      </c>
      <c r="V91" s="173">
        <v>153.74897300000001</v>
      </c>
      <c r="W91"/>
      <c r="X91"/>
      <c r="Y91"/>
      <c r="Z91"/>
    </row>
    <row r="92" spans="1:26" ht="15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/>
      <c r="X92"/>
      <c r="Y92"/>
      <c r="Z92"/>
    </row>
    <row r="93" spans="1:26" ht="15">
      <c r="A93" s="211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/>
      <c r="X93"/>
      <c r="Y93"/>
      <c r="Z93"/>
    </row>
    <row r="94" spans="1:26" ht="15">
      <c r="A94" s="211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32.896220999999997</v>
      </c>
      <c r="M94" s="173">
        <v>24.884706000000001</v>
      </c>
      <c r="N94" s="173">
        <v>22.636651000000001</v>
      </c>
      <c r="O94" s="173">
        <v>23.970113999999999</v>
      </c>
      <c r="P94" s="173">
        <v>30.744498</v>
      </c>
      <c r="Q94" s="173">
        <v>45.305076999999997</v>
      </c>
      <c r="R94" s="173">
        <v>44.568354999999997</v>
      </c>
      <c r="S94" s="173">
        <v>58.305483000000002</v>
      </c>
      <c r="T94" s="173">
        <v>53.291172000000003</v>
      </c>
      <c r="U94" s="173">
        <v>60.139879999999998</v>
      </c>
      <c r="V94" s="173">
        <v>27.213709999999999</v>
      </c>
      <c r="W94"/>
      <c r="X94"/>
      <c r="Y94"/>
      <c r="Z94"/>
    </row>
    <row r="95" spans="1:26" ht="15">
      <c r="A95" s="211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0.10422099999999999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0.18402499999999999</v>
      </c>
      <c r="V95" s="173">
        <v>0.11514199999999999</v>
      </c>
      <c r="W95"/>
      <c r="X95"/>
      <c r="Y95"/>
      <c r="Z95"/>
    </row>
    <row r="96" spans="1:26" ht="15">
      <c r="A96" s="211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3.2774670000000001</v>
      </c>
      <c r="V96" s="173">
        <v>0.63651999999999997</v>
      </c>
      <c r="W96"/>
      <c r="X96"/>
      <c r="Y96"/>
      <c r="Z96"/>
    </row>
    <row r="97" spans="1:26" ht="15">
      <c r="A97" s="211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15.726691000000001</v>
      </c>
      <c r="V97" s="173">
        <v>7.5990000000000002</v>
      </c>
      <c r="W97"/>
      <c r="X97"/>
      <c r="Y97"/>
      <c r="Z97"/>
    </row>
    <row r="98" spans="1:26" ht="15">
      <c r="A98" s="211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15.726691000000001</v>
      </c>
      <c r="V98" s="173">
        <v>7.5990000000000002</v>
      </c>
      <c r="W98"/>
      <c r="X98"/>
      <c r="Y98"/>
      <c r="Z98"/>
    </row>
    <row r="99" spans="1:26" ht="15">
      <c r="A99" s="211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363.93801500000001</v>
      </c>
      <c r="M99" s="174">
        <v>302.20483200000001</v>
      </c>
      <c r="N99" s="174">
        <v>305.99322599999999</v>
      </c>
      <c r="O99" s="174">
        <v>322.739238</v>
      </c>
      <c r="P99" s="174">
        <v>292.19124699999998</v>
      </c>
      <c r="Q99" s="174">
        <v>317.70156900000001</v>
      </c>
      <c r="R99" s="174">
        <v>321.59470199999998</v>
      </c>
      <c r="S99" s="174">
        <v>356.56604199999998</v>
      </c>
      <c r="T99" s="174">
        <v>390.11994299999998</v>
      </c>
      <c r="U99" s="174">
        <v>472.988519</v>
      </c>
      <c r="V99" s="174">
        <v>246.01555500000001</v>
      </c>
      <c r="W99"/>
      <c r="X99"/>
      <c r="Y99"/>
      <c r="Z99"/>
    </row>
    <row r="100" spans="1:26" ht="15">
      <c r="A100" s="211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208.454387</v>
      </c>
      <c r="V100" s="173">
        <v>91.289599999999993</v>
      </c>
      <c r="W100"/>
      <c r="X100"/>
      <c r="Y100"/>
      <c r="Z100"/>
    </row>
    <row r="101" spans="1:26" ht="15">
      <c r="A101" s="212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495.38550500000002</v>
      </c>
      <c r="M101" s="174">
        <v>372.94052199999999</v>
      </c>
      <c r="N101" s="174">
        <v>418.433494</v>
      </c>
      <c r="O101" s="174">
        <v>445.49951199999998</v>
      </c>
      <c r="P101" s="174">
        <v>406.93532900000002</v>
      </c>
      <c r="Q101" s="174">
        <v>428.36929600000002</v>
      </c>
      <c r="R101" s="174">
        <v>430.95705199999998</v>
      </c>
      <c r="S101" s="174">
        <v>474.33092599999998</v>
      </c>
      <c r="T101" s="174">
        <v>535.48353199999997</v>
      </c>
      <c r="U101" s="174">
        <v>681.44290599999999</v>
      </c>
      <c r="V101" s="174">
        <v>337.30515500000001</v>
      </c>
      <c r="W101"/>
      <c r="X101"/>
      <c r="Y101"/>
      <c r="Z101"/>
    </row>
    <row r="102" spans="1:26" ht="15">
      <c r="A102" s="215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0.290603</v>
      </c>
      <c r="V102" s="173">
        <v>0</v>
      </c>
      <c r="W102"/>
      <c r="X102"/>
      <c r="Y102"/>
      <c r="Z102"/>
    </row>
    <row r="103" spans="1:26" ht="15">
      <c r="A103" s="211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156.974729</v>
      </c>
      <c r="V103" s="173">
        <v>65.652682999999996</v>
      </c>
      <c r="W103"/>
      <c r="X103"/>
      <c r="Y103"/>
      <c r="Z103"/>
    </row>
    <row r="104" spans="1:26" ht="15">
      <c r="A104" s="211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16.279032000000001</v>
      </c>
      <c r="V104" s="173">
        <v>3.7060460000000002</v>
      </c>
      <c r="W104"/>
      <c r="X104"/>
      <c r="Y104"/>
      <c r="Z104"/>
    </row>
    <row r="105" spans="1:26" ht="15">
      <c r="A105" s="211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105.68064699999999</v>
      </c>
      <c r="V105" s="173">
        <v>39.821618000000001</v>
      </c>
      <c r="W105"/>
      <c r="X105"/>
      <c r="Y105"/>
      <c r="Z105"/>
    </row>
    <row r="106" spans="1:26" ht="15">
      <c r="A106" s="211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264.109264</v>
      </c>
      <c r="V106" s="173">
        <v>112.82688</v>
      </c>
      <c r="W106"/>
      <c r="X106"/>
      <c r="Y106"/>
      <c r="Z106"/>
    </row>
    <row r="107" spans="1:26" ht="15">
      <c r="A107" s="211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/>
      <c r="X107"/>
      <c r="Y107"/>
      <c r="Z107"/>
    </row>
    <row r="108" spans="1:26" ht="15">
      <c r="A108" s="211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3.5113029999999998</v>
      </c>
      <c r="V108" s="173">
        <v>2.3502209999999999</v>
      </c>
      <c r="W108"/>
      <c r="X108"/>
      <c r="Y108"/>
      <c r="Z108"/>
    </row>
    <row r="109" spans="1:26" ht="15">
      <c r="A109" s="211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53.195207000000003</v>
      </c>
      <c r="P109" s="173">
        <v>108.751811</v>
      </c>
      <c r="Q109" s="173">
        <v>89.282236999999995</v>
      </c>
      <c r="R109" s="173">
        <v>94.671989999999994</v>
      </c>
      <c r="S109" s="173">
        <v>147.019094</v>
      </c>
      <c r="T109" s="173">
        <v>129.86778200000001</v>
      </c>
      <c r="U109" s="173">
        <v>169.46007700000001</v>
      </c>
      <c r="V109" s="173">
        <v>90.181539000000001</v>
      </c>
      <c r="W109"/>
      <c r="X109"/>
      <c r="Y109"/>
      <c r="Z109"/>
    </row>
    <row r="110" spans="1:26" ht="15">
      <c r="A110" s="211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24.559023</v>
      </c>
      <c r="P110" s="173">
        <v>26.306543000000001</v>
      </c>
      <c r="Q110" s="173">
        <v>31.905954000000001</v>
      </c>
      <c r="R110" s="173">
        <v>35.953691999999997</v>
      </c>
      <c r="S110" s="173">
        <v>35.545333999999997</v>
      </c>
      <c r="T110" s="173">
        <v>36.232920999999997</v>
      </c>
      <c r="U110" s="173">
        <v>42.728755999999997</v>
      </c>
      <c r="V110" s="173">
        <v>15.592563999999999</v>
      </c>
      <c r="W110"/>
      <c r="X110"/>
      <c r="Y110"/>
      <c r="Z110"/>
    </row>
    <row r="111" spans="1:26" ht="15">
      <c r="A111" s="211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0.62341999999999997</v>
      </c>
      <c r="V111" s="173">
        <v>0</v>
      </c>
      <c r="W111"/>
      <c r="X111"/>
      <c r="Y111"/>
      <c r="Z111"/>
    </row>
    <row r="112" spans="1:26" ht="15">
      <c r="A112" s="211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802.65790300000003</v>
      </c>
      <c r="K112" s="174">
        <v>744.75916099999995</v>
      </c>
      <c r="L112" s="174">
        <v>803.86761799999999</v>
      </c>
      <c r="M112" s="174">
        <v>730.19147599999997</v>
      </c>
      <c r="N112" s="174">
        <v>733.35031600000002</v>
      </c>
      <c r="O112" s="174">
        <v>741.00049100000001</v>
      </c>
      <c r="P112" s="174">
        <v>691.29240300000004</v>
      </c>
      <c r="Q112" s="174">
        <v>724.47731899999997</v>
      </c>
      <c r="R112" s="174">
        <v>704.93682799999999</v>
      </c>
      <c r="S112" s="174">
        <v>707.88841100000002</v>
      </c>
      <c r="T112" s="174">
        <v>692.21298300000001</v>
      </c>
      <c r="U112" s="174">
        <v>759.65783099999999</v>
      </c>
      <c r="V112" s="174">
        <v>330.131551</v>
      </c>
      <c r="W112"/>
      <c r="X112"/>
      <c r="Y112"/>
      <c r="Z112"/>
    </row>
    <row r="113" spans="1:26" ht="15">
      <c r="A113" s="212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741.00049100000001</v>
      </c>
      <c r="P113" s="174">
        <v>691.29240300000004</v>
      </c>
      <c r="Q113" s="174">
        <v>724.47731899999997</v>
      </c>
      <c r="R113" s="174">
        <v>704.93682799999999</v>
      </c>
      <c r="S113" s="174">
        <v>707.88841100000002</v>
      </c>
      <c r="T113" s="174">
        <v>692.21298300000001</v>
      </c>
      <c r="U113" s="174">
        <v>759.65783099999999</v>
      </c>
      <c r="V113" s="174">
        <v>330.131551</v>
      </c>
      <c r="W113"/>
      <c r="X113"/>
      <c r="Y113"/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julio 2023</v>
      </c>
      <c r="D117" s="111" t="str">
        <f t="shared" ref="D117:M117" si="6">TEXT(EDATE(E117,-1),"mmmm aaaa")</f>
        <v>agosto 2023</v>
      </c>
      <c r="E117" s="111" t="str">
        <f t="shared" si="6"/>
        <v>septiembre 2023</v>
      </c>
      <c r="F117" s="111" t="str">
        <f t="shared" si="6"/>
        <v>octubre 2023</v>
      </c>
      <c r="G117" s="111" t="str">
        <f t="shared" si="6"/>
        <v>noviembre 2023</v>
      </c>
      <c r="H117" s="111" t="str">
        <f t="shared" si="6"/>
        <v>diciembre 2023</v>
      </c>
      <c r="I117" s="111" t="str">
        <f t="shared" si="6"/>
        <v>enero 2024</v>
      </c>
      <c r="J117" s="111" t="str">
        <f t="shared" si="6"/>
        <v>febrero 2024</v>
      </c>
      <c r="K117" s="111" t="str">
        <f t="shared" si="6"/>
        <v>marzo 2024</v>
      </c>
      <c r="L117" s="111" t="str">
        <f t="shared" si="6"/>
        <v>abril 2024</v>
      </c>
      <c r="M117" s="111" t="str">
        <f t="shared" si="6"/>
        <v>mayo 2024</v>
      </c>
      <c r="N117" s="111" t="str">
        <f>TEXT(EDATE(O117,-1),"mmmm aaaa")</f>
        <v>junio 2024</v>
      </c>
      <c r="O117" s="112" t="str">
        <f>A2</f>
        <v>Julio 2024</v>
      </c>
    </row>
    <row r="118" spans="1:26">
      <c r="B118" s="209"/>
      <c r="C118" s="121" t="str">
        <f>TEXT(EDATE($A$2,-12),"mmm")&amp;".-"&amp;TEXT(EDATE($A$2,-12),"aa")</f>
        <v>jul.-23</v>
      </c>
      <c r="D118" s="121" t="str">
        <f>TEXT(EDATE($A$2,-11),"mmm")&amp;".-"&amp;TEXT(EDATE($A$2,-11),"aa")</f>
        <v>ago.-23</v>
      </c>
      <c r="E118" s="121" t="str">
        <f>TEXT(EDATE($A$2,-10),"mmm")&amp;".-"&amp;TEXT(EDATE($A$2,-10),"aa")</f>
        <v>sep.-23</v>
      </c>
      <c r="F118" s="121" t="str">
        <f>TEXT(EDATE($A$2,-9),"mmm")&amp;".-"&amp;TEXT(EDATE($A$2,-9),"aa")</f>
        <v>oct.-23</v>
      </c>
      <c r="G118" s="121" t="str">
        <f>TEXT(EDATE($A$2,-8),"mmm")&amp;".-"&amp;TEXT(EDATE($A$2,-8),"aa")</f>
        <v>nov.-23</v>
      </c>
      <c r="H118" s="121" t="str">
        <f>TEXT(EDATE($A$2,-7),"mmm")&amp;".-"&amp;TEXT(EDATE($A$2,-7),"aa")</f>
        <v>dic.-23</v>
      </c>
      <c r="I118" s="121" t="str">
        <f>TEXT(EDATE($A$2,-6),"mmm")&amp;".-"&amp;TEXT(EDATE($A$2,-6),"aa")</f>
        <v>ene.-24</v>
      </c>
      <c r="J118" s="121" t="str">
        <f>TEXT(EDATE($A$2,-5),"mmm")&amp;".-"&amp;TEXT(EDATE($A$2,-5),"aa")</f>
        <v>feb.-24</v>
      </c>
      <c r="K118" s="121" t="str">
        <f>TEXT(EDATE($A$2,-4),"mmm")&amp;".-"&amp;TEXT(EDATE($A$2,-4),"aa")</f>
        <v>mar.-24</v>
      </c>
      <c r="L118" s="121" t="str">
        <f>TEXT(EDATE($A$2,-3),"mmm")&amp;".-"&amp;TEXT(EDATE($A$2,-3),"aa")</f>
        <v>abr.-24</v>
      </c>
      <c r="M118" s="121" t="str">
        <f>TEXT(EDATE($A$2,-2),"mmm")&amp;".-"&amp;TEXT(EDATE($A$2,-2),"aa")</f>
        <v>may.-24</v>
      </c>
      <c r="N118" s="121" t="str">
        <f>TEXT(EDATE($A$2,-1),"mmm")&amp;".-"&amp;TEXT(EDATE($A$2,-1),"aa")</f>
        <v>jun.-24</v>
      </c>
      <c r="O118" s="143" t="str">
        <f>TEXT($A$2,"mmm")&amp;".-"&amp;TEXT($A$2,"aa")</f>
        <v>jul.-24</v>
      </c>
    </row>
    <row r="119" spans="1:26">
      <c r="A119" s="205" t="s">
        <v>76</v>
      </c>
      <c r="B119" s="122" t="s">
        <v>11</v>
      </c>
      <c r="C119" s="123">
        <f>HLOOKUP(C$117,$86:$101,3,FALSE)</f>
        <v>54.925434000000003</v>
      </c>
      <c r="D119" s="123">
        <f t="shared" ref="D119:N119" si="7">HLOOKUP(D$117,$86:$101,3,FALSE)</f>
        <v>9.0232189999999992</v>
      </c>
      <c r="E119" s="123">
        <f t="shared" si="7"/>
        <v>-0.82337800000000005</v>
      </c>
      <c r="F119" s="123">
        <f t="shared" si="7"/>
        <v>-0.82724900000000001</v>
      </c>
      <c r="G119" s="123">
        <f t="shared" si="7"/>
        <v>-0.89542500000000003</v>
      </c>
      <c r="H119" s="123">
        <f t="shared" si="7"/>
        <v>-0.69586499999999996</v>
      </c>
      <c r="I119" s="123">
        <f t="shared" si="7"/>
        <v>-0.70605399999999996</v>
      </c>
      <c r="J119" s="123">
        <f t="shared" si="7"/>
        <v>-0.66276199999999996</v>
      </c>
      <c r="K119" s="123">
        <f t="shared" si="7"/>
        <v>-0.710283</v>
      </c>
      <c r="L119" s="123">
        <f t="shared" si="7"/>
        <v>-0.939218</v>
      </c>
      <c r="M119" s="123">
        <f t="shared" si="7"/>
        <v>22.073955999999999</v>
      </c>
      <c r="N119" s="123">
        <f t="shared" si="7"/>
        <v>26.418958</v>
      </c>
      <c r="O119" s="124">
        <f>HLOOKUP(O$117,$86:$101,3,FALSE)</f>
        <v>1.554179</v>
      </c>
    </row>
    <row r="120" spans="1:26">
      <c r="A120" s="206"/>
      <c r="B120" s="105" t="s">
        <v>10</v>
      </c>
      <c r="C120" s="107">
        <f>HLOOKUP(C$117,$86:$101,4,FALSE)</f>
        <v>57.618448999999998</v>
      </c>
      <c r="D120" s="107">
        <f t="shared" ref="D120:O120" si="8">HLOOKUP(D$117,$86:$101,4,FALSE)</f>
        <v>64.924531000000002</v>
      </c>
      <c r="E120" s="107">
        <f t="shared" si="8"/>
        <v>32.782569000000002</v>
      </c>
      <c r="F120" s="107">
        <f t="shared" si="8"/>
        <v>16.979832999999999</v>
      </c>
      <c r="G120" s="107">
        <f t="shared" si="8"/>
        <v>5.9974980000000002</v>
      </c>
      <c r="H120" s="107">
        <f t="shared" si="8"/>
        <v>6.2665600000000001</v>
      </c>
      <c r="I120" s="107">
        <f t="shared" si="8"/>
        <v>5.2892989999999998</v>
      </c>
      <c r="J120" s="107">
        <f t="shared" si="8"/>
        <v>4.8235140000000003</v>
      </c>
      <c r="K120" s="107">
        <f t="shared" si="8"/>
        <v>5.4357850000000001</v>
      </c>
      <c r="L120" s="107">
        <f t="shared" si="8"/>
        <v>18.212437000000001</v>
      </c>
      <c r="M120" s="107">
        <f t="shared" si="8"/>
        <v>11.891016</v>
      </c>
      <c r="N120" s="107">
        <f t="shared" si="8"/>
        <v>17.869899</v>
      </c>
      <c r="O120" s="124">
        <f t="shared" si="8"/>
        <v>51.149709999999999</v>
      </c>
    </row>
    <row r="121" spans="1:26">
      <c r="A121" s="206"/>
      <c r="B121" s="105" t="s">
        <v>9</v>
      </c>
      <c r="C121" s="107">
        <f>HLOOKUP(C$117,$86:$101,5,FALSE)</f>
        <v>67.064257999999995</v>
      </c>
      <c r="D121" s="107">
        <f t="shared" ref="D121:O121" si="9">HLOOKUP(D$117,$86:$101,5,FALSE)</f>
        <v>53.415241999999999</v>
      </c>
      <c r="E121" s="107">
        <f t="shared" si="9"/>
        <v>49.271726999999998</v>
      </c>
      <c r="F121" s="107">
        <f t="shared" si="9"/>
        <v>44.274278000000002</v>
      </c>
      <c r="G121" s="107">
        <f t="shared" si="9"/>
        <v>24.187601999999998</v>
      </c>
      <c r="H121" s="107">
        <f t="shared" si="9"/>
        <v>22.604486999999999</v>
      </c>
      <c r="I121" s="107">
        <f t="shared" si="9"/>
        <v>25.154277</v>
      </c>
      <c r="J121" s="107">
        <f t="shared" si="9"/>
        <v>23.798262999999999</v>
      </c>
      <c r="K121" s="107">
        <f t="shared" si="9"/>
        <v>24.938551</v>
      </c>
      <c r="L121" s="107">
        <f t="shared" si="9"/>
        <v>29.498771000000001</v>
      </c>
      <c r="M121" s="107">
        <f t="shared" si="9"/>
        <v>29.400922999999999</v>
      </c>
      <c r="N121" s="107">
        <f t="shared" si="9"/>
        <v>43.333288000000003</v>
      </c>
      <c r="O121" s="124">
        <f t="shared" si="9"/>
        <v>52.282953999999997</v>
      </c>
    </row>
    <row r="122" spans="1:26" ht="14.25">
      <c r="A122" s="206"/>
      <c r="B122" s="105" t="s">
        <v>74</v>
      </c>
      <c r="C122" s="107">
        <f>HLOOKUP(C$117,$86:$101,6,FALSE)</f>
        <v>316.35504600000002</v>
      </c>
      <c r="D122" s="107">
        <f t="shared" ref="D122:O122" si="10">HLOOKUP(D$117,$86:$101,6,FALSE)</f>
        <v>324.37696499999998</v>
      </c>
      <c r="E122" s="107">
        <f t="shared" si="10"/>
        <v>296.32292799999999</v>
      </c>
      <c r="F122" s="107">
        <f t="shared" si="10"/>
        <v>247.112684</v>
      </c>
      <c r="G122" s="107">
        <f t="shared" si="10"/>
        <v>224.26124200000001</v>
      </c>
      <c r="H122" s="107">
        <f t="shared" si="10"/>
        <v>233.91494</v>
      </c>
      <c r="I122" s="107">
        <f t="shared" si="10"/>
        <v>244.02029300000001</v>
      </c>
      <c r="J122" s="107">
        <f t="shared" si="10"/>
        <v>218.49136100000001</v>
      </c>
      <c r="K122" s="107">
        <f t="shared" si="10"/>
        <v>213.548517</v>
      </c>
      <c r="L122" s="107">
        <f t="shared" si="10"/>
        <v>205.68247400000001</v>
      </c>
      <c r="M122" s="107">
        <f t="shared" si="10"/>
        <v>206.763338</v>
      </c>
      <c r="N122" s="107">
        <f t="shared" si="10"/>
        <v>212.499032</v>
      </c>
      <c r="O122" s="124">
        <f t="shared" si="10"/>
        <v>272.94692199999997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0.118565</v>
      </c>
      <c r="D124" s="107">
        <f t="shared" ref="D124:O124" si="12">HLOOKUP(D$117,$86:$102,8,FALSE)</f>
        <v>9.7920999999999994E-2</v>
      </c>
      <c r="E124" s="107">
        <f t="shared" si="12"/>
        <v>0</v>
      </c>
      <c r="F124" s="107">
        <f t="shared" si="12"/>
        <v>1.0359999999999999E-2</v>
      </c>
      <c r="G124" s="107">
        <f t="shared" si="12"/>
        <v>8.7279999999999996E-3</v>
      </c>
      <c r="H124" s="107">
        <f t="shared" si="12"/>
        <v>0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41.537353000000003</v>
      </c>
      <c r="D125" s="107">
        <f t="shared" ref="D125:O125" si="13">HLOOKUP(D$117,$86:$102,9,FALSE)</f>
        <v>44.650032000000003</v>
      </c>
      <c r="E125" s="107">
        <f t="shared" si="13"/>
        <v>34.850726000000002</v>
      </c>
      <c r="F125" s="107">
        <f t="shared" si="13"/>
        <v>32.896220999999997</v>
      </c>
      <c r="G125" s="107">
        <f t="shared" si="13"/>
        <v>24.884706000000001</v>
      </c>
      <c r="H125" s="107">
        <f t="shared" si="13"/>
        <v>22.636651000000001</v>
      </c>
      <c r="I125" s="107">
        <f t="shared" si="13"/>
        <v>23.970113999999999</v>
      </c>
      <c r="J125" s="107">
        <f t="shared" si="13"/>
        <v>30.744498</v>
      </c>
      <c r="K125" s="107">
        <f t="shared" si="13"/>
        <v>45.305076999999997</v>
      </c>
      <c r="L125" s="107">
        <f t="shared" si="13"/>
        <v>44.568354999999997</v>
      </c>
      <c r="M125" s="107">
        <f t="shared" si="13"/>
        <v>58.305483000000002</v>
      </c>
      <c r="N125" s="107">
        <f t="shared" si="13"/>
        <v>53.291172000000003</v>
      </c>
      <c r="O125" s="124">
        <f t="shared" si="13"/>
        <v>60.139879999999998</v>
      </c>
    </row>
    <row r="126" spans="1:26">
      <c r="A126" s="206"/>
      <c r="B126" s="113" t="s">
        <v>22</v>
      </c>
      <c r="C126" s="107">
        <f>HLOOKUP(C$117,$86:$102,10,FALSE)</f>
        <v>0.102288</v>
      </c>
      <c r="D126" s="107">
        <f t="shared" ref="D126:O126" si="14">HLOOKUP(D$117,$86:$102,10,FALSE)</f>
        <v>9.2054999999999998E-2</v>
      </c>
      <c r="E126" s="107">
        <f t="shared" si="14"/>
        <v>0.14128099999999999</v>
      </c>
      <c r="F126" s="107">
        <f t="shared" si="14"/>
        <v>0.14801500000000001</v>
      </c>
      <c r="G126" s="107">
        <f t="shared" si="14"/>
        <v>0.14354</v>
      </c>
      <c r="H126" s="107">
        <f t="shared" si="14"/>
        <v>0.12625700000000001</v>
      </c>
      <c r="I126" s="107">
        <f t="shared" si="14"/>
        <v>0.10422099999999999</v>
      </c>
      <c r="J126" s="107">
        <f t="shared" si="14"/>
        <v>3.9530000000000003E-2</v>
      </c>
      <c r="K126" s="107">
        <f t="shared" si="14"/>
        <v>4.0002000000000003E-2</v>
      </c>
      <c r="L126" s="107">
        <f t="shared" si="14"/>
        <v>1.5544000000000001E-2</v>
      </c>
      <c r="M126" s="107">
        <f t="shared" si="14"/>
        <v>4.1384999999999998E-2</v>
      </c>
      <c r="N126" s="107">
        <f t="shared" si="14"/>
        <v>7.8099000000000002E-2</v>
      </c>
      <c r="O126" s="124">
        <f t="shared" si="14"/>
        <v>0.18402499999999999</v>
      </c>
    </row>
    <row r="127" spans="1:26">
      <c r="A127" s="206"/>
      <c r="B127" s="113" t="s">
        <v>23</v>
      </c>
      <c r="C127" s="107">
        <f>HLOOKUP(C$117,$86:$102,11,FALSE)</f>
        <v>3.1795529999999999</v>
      </c>
      <c r="D127" s="107">
        <f t="shared" ref="D127:O127" si="15">HLOOKUP(D$117,$86:$102,11,FALSE)</f>
        <v>3.6746310000000002</v>
      </c>
      <c r="E127" s="107">
        <f t="shared" si="15"/>
        <v>2.995241</v>
      </c>
      <c r="F127" s="107">
        <f t="shared" si="15"/>
        <v>1.6210690000000001</v>
      </c>
      <c r="G127" s="107">
        <f t="shared" si="15"/>
        <v>1.996553</v>
      </c>
      <c r="H127" s="107">
        <f t="shared" si="15"/>
        <v>3.1565249999999998</v>
      </c>
      <c r="I127" s="107">
        <f t="shared" si="15"/>
        <v>3.9370180000000001</v>
      </c>
      <c r="J127" s="107">
        <f t="shared" si="15"/>
        <v>3.7397490000000002</v>
      </c>
      <c r="K127" s="107">
        <f t="shared" si="15"/>
        <v>3.4851179999999999</v>
      </c>
      <c r="L127" s="107">
        <f t="shared" si="15"/>
        <v>1.9095409999999999</v>
      </c>
      <c r="M127" s="107">
        <f t="shared" si="15"/>
        <v>3.5397620000000001</v>
      </c>
      <c r="N127" s="107">
        <f t="shared" si="15"/>
        <v>3.4609559999999999</v>
      </c>
      <c r="O127" s="124">
        <f t="shared" si="15"/>
        <v>3.2774670000000001</v>
      </c>
    </row>
    <row r="128" spans="1:26">
      <c r="A128" s="206"/>
      <c r="B128" s="105" t="s">
        <v>55</v>
      </c>
      <c r="C128" s="107">
        <f t="shared" ref="C128:O128" si="16">HLOOKUP(C$117,$86:$102,13,FALSE)</f>
        <v>12.541195999999999</v>
      </c>
      <c r="D128" s="107">
        <f t="shared" si="16"/>
        <v>14.683114</v>
      </c>
      <c r="E128" s="107">
        <f t="shared" si="16"/>
        <v>9.9340825000000006</v>
      </c>
      <c r="F128" s="107">
        <f t="shared" si="16"/>
        <v>10.861402</v>
      </c>
      <c r="G128" s="107">
        <f t="shared" si="16"/>
        <v>10.810193999999999</v>
      </c>
      <c r="H128" s="107">
        <f t="shared" si="16"/>
        <v>8.9918355000000005</v>
      </c>
      <c r="I128" s="107">
        <f t="shared" si="16"/>
        <v>10.485035</v>
      </c>
      <c r="J128" s="107">
        <f t="shared" si="16"/>
        <v>5.6085469999999997</v>
      </c>
      <c r="K128" s="107">
        <f t="shared" si="16"/>
        <v>12.829401000000001</v>
      </c>
      <c r="L128" s="107">
        <f t="shared" si="16"/>
        <v>11.323399</v>
      </c>
      <c r="M128" s="107">
        <f t="shared" si="16"/>
        <v>12.2750895</v>
      </c>
      <c r="N128" s="107">
        <f t="shared" si="16"/>
        <v>16.584269500000001</v>
      </c>
      <c r="O128" s="124">
        <f t="shared" si="16"/>
        <v>15.726691000000001</v>
      </c>
    </row>
    <row r="129" spans="1:15">
      <c r="A129" s="206"/>
      <c r="B129" s="105" t="s">
        <v>54</v>
      </c>
      <c r="C129" s="107">
        <f>HLOOKUP(C$117,$86:$102,12,FALSE)</f>
        <v>12.541195999999999</v>
      </c>
      <c r="D129" s="107">
        <f t="shared" ref="D129:O129" si="17">HLOOKUP(D$117,$86:$102,12,FALSE)</f>
        <v>14.683114</v>
      </c>
      <c r="E129" s="107">
        <f t="shared" si="17"/>
        <v>9.9340825000000006</v>
      </c>
      <c r="F129" s="107">
        <f t="shared" si="17"/>
        <v>10.861402</v>
      </c>
      <c r="G129" s="107">
        <f t="shared" si="17"/>
        <v>10.810193999999999</v>
      </c>
      <c r="H129" s="107">
        <f t="shared" si="17"/>
        <v>8.9918355000000005</v>
      </c>
      <c r="I129" s="107">
        <f t="shared" si="17"/>
        <v>10.485035</v>
      </c>
      <c r="J129" s="107">
        <f t="shared" si="17"/>
        <v>5.6085469999999997</v>
      </c>
      <c r="K129" s="107">
        <f t="shared" si="17"/>
        <v>12.829401000000001</v>
      </c>
      <c r="L129" s="107">
        <f t="shared" si="17"/>
        <v>11.323399</v>
      </c>
      <c r="M129" s="107">
        <f t="shared" si="17"/>
        <v>12.2750895</v>
      </c>
      <c r="N129" s="107">
        <f t="shared" si="17"/>
        <v>16.584269500000001</v>
      </c>
      <c r="O129" s="124">
        <f t="shared" si="17"/>
        <v>15.726691000000001</v>
      </c>
    </row>
    <row r="130" spans="1:15">
      <c r="A130" s="206"/>
      <c r="B130" s="114" t="s">
        <v>2</v>
      </c>
      <c r="C130" s="115">
        <f>HLOOKUP(C$117,$86:$102,14,FALSE)</f>
        <v>565.983338</v>
      </c>
      <c r="D130" s="115">
        <f t="shared" ref="D130:O130" si="18">HLOOKUP(D$117,$86:$102,14,FALSE)</f>
        <v>529.62082399999997</v>
      </c>
      <c r="E130" s="115">
        <f t="shared" si="18"/>
        <v>435.40925900000002</v>
      </c>
      <c r="F130" s="115">
        <f t="shared" si="18"/>
        <v>363.93801500000001</v>
      </c>
      <c r="G130" s="115">
        <f t="shared" si="18"/>
        <v>302.20483200000001</v>
      </c>
      <c r="H130" s="115">
        <f t="shared" si="18"/>
        <v>305.99322599999999</v>
      </c>
      <c r="I130" s="115">
        <f t="shared" si="18"/>
        <v>322.739238</v>
      </c>
      <c r="J130" s="115">
        <f t="shared" si="18"/>
        <v>292.19124699999998</v>
      </c>
      <c r="K130" s="115">
        <f t="shared" si="18"/>
        <v>317.70156900000001</v>
      </c>
      <c r="L130" s="115">
        <f t="shared" si="18"/>
        <v>321.59470199999998</v>
      </c>
      <c r="M130" s="115">
        <f t="shared" si="18"/>
        <v>356.56604199999998</v>
      </c>
      <c r="N130" s="115">
        <f t="shared" si="18"/>
        <v>390.11994299999998</v>
      </c>
      <c r="O130" s="125">
        <f t="shared" si="18"/>
        <v>472.988519</v>
      </c>
    </row>
    <row r="131" spans="1:15">
      <c r="A131" s="206"/>
      <c r="B131" s="105" t="s">
        <v>21</v>
      </c>
      <c r="C131" s="116">
        <f>HLOOKUP(C$117,$86:$102,15,FALSE)</f>
        <v>168.54782399999999</v>
      </c>
      <c r="D131" s="116">
        <f t="shared" ref="D131:O131" si="19">HLOOKUP(D$117,$86:$102,15,FALSE)</f>
        <v>175.00929099999999</v>
      </c>
      <c r="E131" s="116">
        <f t="shared" si="19"/>
        <v>130.854702</v>
      </c>
      <c r="F131" s="116">
        <f t="shared" si="19"/>
        <v>131.44748999999999</v>
      </c>
      <c r="G131" s="116">
        <f t="shared" si="19"/>
        <v>70.735690000000005</v>
      </c>
      <c r="H131" s="116">
        <f t="shared" si="19"/>
        <v>112.440268</v>
      </c>
      <c r="I131" s="116">
        <f t="shared" si="19"/>
        <v>122.760274</v>
      </c>
      <c r="J131" s="116">
        <f t="shared" si="19"/>
        <v>114.74408200000001</v>
      </c>
      <c r="K131" s="116">
        <f t="shared" si="19"/>
        <v>110.667727</v>
      </c>
      <c r="L131" s="116">
        <f t="shared" si="19"/>
        <v>109.36235000000001</v>
      </c>
      <c r="M131" s="116">
        <f t="shared" si="19"/>
        <v>117.764884</v>
      </c>
      <c r="N131" s="116">
        <f t="shared" si="19"/>
        <v>145.36358899999999</v>
      </c>
      <c r="O131" s="116">
        <f t="shared" si="19"/>
        <v>208.454387</v>
      </c>
    </row>
    <row r="132" spans="1:15">
      <c r="A132" s="206"/>
      <c r="B132" s="117" t="s">
        <v>1</v>
      </c>
      <c r="C132" s="118">
        <f>HLOOKUP(C$117,$86:$102,16,FALSE)</f>
        <v>734.53116199999999</v>
      </c>
      <c r="D132" s="118">
        <f t="shared" ref="D132:O132" si="20">HLOOKUP(D$117,$86:$102,16,FALSE)</f>
        <v>704.63011500000005</v>
      </c>
      <c r="E132" s="118">
        <f t="shared" si="20"/>
        <v>566.26396099999999</v>
      </c>
      <c r="F132" s="118">
        <f t="shared" si="20"/>
        <v>495.38550500000002</v>
      </c>
      <c r="G132" s="118">
        <f t="shared" si="20"/>
        <v>372.94052199999999</v>
      </c>
      <c r="H132" s="118">
        <f t="shared" si="20"/>
        <v>418.433494</v>
      </c>
      <c r="I132" s="118">
        <f t="shared" si="20"/>
        <v>445.49951199999998</v>
      </c>
      <c r="J132" s="118">
        <f t="shared" si="20"/>
        <v>406.93532900000002</v>
      </c>
      <c r="K132" s="118">
        <f t="shared" si="20"/>
        <v>428.36929600000002</v>
      </c>
      <c r="L132" s="118">
        <f t="shared" si="20"/>
        <v>430.95705199999998</v>
      </c>
      <c r="M132" s="118">
        <f t="shared" si="20"/>
        <v>474.33092599999998</v>
      </c>
      <c r="N132" s="118">
        <f t="shared" si="20"/>
        <v>535.48353199999997</v>
      </c>
      <c r="O132" s="118">
        <f t="shared" si="20"/>
        <v>681.44290599999999</v>
      </c>
    </row>
    <row r="133" spans="1:15" ht="14.25">
      <c r="A133" s="207"/>
      <c r="B133" s="126" t="s">
        <v>75</v>
      </c>
      <c r="C133" s="127">
        <f>C120+C121+C123</f>
        <v>124.68270699999999</v>
      </c>
      <c r="D133" s="127">
        <f>D120+D121+D123</f>
        <v>118.33977300000001</v>
      </c>
      <c r="E133" s="127">
        <f t="shared" ref="E133:O133" si="21">E120+E121+E123</f>
        <v>82.054295999999994</v>
      </c>
      <c r="F133" s="127">
        <f t="shared" si="21"/>
        <v>61.254111000000002</v>
      </c>
      <c r="G133" s="127">
        <f t="shared" si="21"/>
        <v>30.185099999999998</v>
      </c>
      <c r="H133" s="127">
        <f t="shared" si="21"/>
        <v>28.871046999999997</v>
      </c>
      <c r="I133" s="127">
        <f t="shared" si="21"/>
        <v>30.443576</v>
      </c>
      <c r="J133" s="127">
        <f t="shared" si="21"/>
        <v>28.621776999999998</v>
      </c>
      <c r="K133" s="127">
        <f t="shared" si="21"/>
        <v>30.374336</v>
      </c>
      <c r="L133" s="127">
        <f t="shared" si="21"/>
        <v>47.711207999999999</v>
      </c>
      <c r="M133" s="127">
        <f t="shared" si="21"/>
        <v>41.291938999999999</v>
      </c>
      <c r="N133" s="127">
        <f t="shared" si="21"/>
        <v>61.203187</v>
      </c>
      <c r="O133" s="127">
        <f t="shared" si="21"/>
        <v>103.43266399999999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jul.-23</v>
      </c>
      <c r="D134" s="111" t="str">
        <f>TEXT(EDATE($A$2,-11),"mmm")&amp;".-"&amp;TEXT(EDATE($A$2,-11),"aa")</f>
        <v>ago.-23</v>
      </c>
      <c r="E134" s="111" t="str">
        <f>TEXT(EDATE($A$2,-10),"mmm")&amp;".-"&amp;TEXT(EDATE($A$2,-10),"aa")</f>
        <v>sep.-23</v>
      </c>
      <c r="F134" s="111" t="str">
        <f>TEXT(EDATE($A$2,-9),"mmm")&amp;".-"&amp;TEXT(EDATE($A$2,-9),"aa")</f>
        <v>oct.-23</v>
      </c>
      <c r="G134" s="111" t="str">
        <f>TEXT(EDATE($A$2,-8),"mmm")&amp;".-"&amp;TEXT(EDATE($A$2,-8),"aa")</f>
        <v>nov.-23</v>
      </c>
      <c r="H134" s="111" t="str">
        <f>TEXT(EDATE($A$2,-7),"mmm")&amp;".-"&amp;TEXT(EDATE($A$2,-7),"aa")</f>
        <v>dic.-23</v>
      </c>
      <c r="I134" s="111" t="str">
        <f>TEXT(EDATE($A$2,-6),"mmm")&amp;".-"&amp;TEXT(EDATE($A$2,-6),"aa")</f>
        <v>ene.-24</v>
      </c>
      <c r="J134" s="111" t="str">
        <f>TEXT(EDATE($A$2,-5),"mmm")&amp;".-"&amp;TEXT(EDATE($A$2,-5),"aa")</f>
        <v>feb.-24</v>
      </c>
      <c r="K134" s="111" t="str">
        <f>TEXT(EDATE($A$2,-4),"mmm")&amp;".-"&amp;TEXT(EDATE($A$2,-4),"aa")</f>
        <v>mar.-24</v>
      </c>
      <c r="L134" s="111" t="str">
        <f>TEXT(EDATE($A$2,-3),"mmm")&amp;".-"&amp;TEXT(EDATE($A$2,-3),"aa")</f>
        <v>abr.-24</v>
      </c>
      <c r="M134" s="111" t="str">
        <f>TEXT(EDATE($A$2,-2),"mmm")&amp;".-"&amp;TEXT(EDATE($A$2,-2),"aa")</f>
        <v>may.-24</v>
      </c>
      <c r="N134" s="111" t="str">
        <f>TEXT(EDATE($A$2,-1),"mmm")&amp;".-"&amp;TEXT(EDATE($A$2,-1),"aa")</f>
        <v>jun.-24</v>
      </c>
      <c r="O134" s="112" t="str">
        <f>TEXT($A$2,"mmm")&amp;".-"&amp;TEXT($A$2,"aa")</f>
        <v>jul.-24</v>
      </c>
    </row>
    <row r="135" spans="1:15" ht="15" customHeight="1">
      <c r="A135" s="206"/>
      <c r="B135" s="105" t="s">
        <v>12</v>
      </c>
      <c r="C135" s="107">
        <f>HLOOKUP(C$117,$86:$115,17,FALSE)</f>
        <v>0.30186600000000002</v>
      </c>
      <c r="D135" s="107">
        <f t="shared" ref="D135:N135" si="22">HLOOKUP(D$117,$86:$115,17,FALSE)</f>
        <v>0.289545</v>
      </c>
      <c r="E135" s="107">
        <f t="shared" si="22"/>
        <v>0.28924100000000003</v>
      </c>
      <c r="F135" s="107">
        <f t="shared" si="22"/>
        <v>0.30332900000000002</v>
      </c>
      <c r="G135" s="107">
        <f t="shared" si="22"/>
        <v>0.28045300000000001</v>
      </c>
      <c r="H135" s="107">
        <f t="shared" si="22"/>
        <v>0.30560300000000001</v>
      </c>
      <c r="I135" s="107">
        <f t="shared" si="22"/>
        <v>0.29624200000000001</v>
      </c>
      <c r="J135" s="107">
        <f t="shared" si="22"/>
        <v>0.28508299999999998</v>
      </c>
      <c r="K135" s="107">
        <f t="shared" si="22"/>
        <v>0.272924</v>
      </c>
      <c r="L135" s="107">
        <f t="shared" si="22"/>
        <v>0.258407</v>
      </c>
      <c r="M135" s="107">
        <f t="shared" si="22"/>
        <v>0.28213199999999999</v>
      </c>
      <c r="N135" s="107">
        <f t="shared" si="22"/>
        <v>0.27541500000000002</v>
      </c>
      <c r="O135" s="144">
        <f>HLOOKUP(O$117,$86:$115,17,FALSE)</f>
        <v>0.290603</v>
      </c>
    </row>
    <row r="136" spans="1:15">
      <c r="A136" s="206"/>
      <c r="B136" s="105" t="s">
        <v>10</v>
      </c>
      <c r="C136" s="107">
        <f>HLOOKUP(C$117,$86:$115,18,FALSE)+HLOOKUP(C$117,$86:$115,22,FALSE)</f>
        <v>147.371253</v>
      </c>
      <c r="D136" s="107">
        <f>HLOOKUP(D$117,$86:$115,18,FALSE)+HLOOKUP(D$117,$86:$115,22,FALSE)</f>
        <v>158.13818499999999</v>
      </c>
      <c r="E136" s="107">
        <f t="shared" ref="E136:N136" si="23">HLOOKUP(E$117,$86:$115,18,FALSE)+HLOOKUP(E$117,$86:$115,22,FALSE)</f>
        <v>154.76962499999999</v>
      </c>
      <c r="F136" s="107">
        <f t="shared" si="23"/>
        <v>179.17001500000001</v>
      </c>
      <c r="G136" s="107">
        <f t="shared" si="23"/>
        <v>168.212242</v>
      </c>
      <c r="H136" s="107">
        <f t="shared" si="23"/>
        <v>171.03571600000001</v>
      </c>
      <c r="I136" s="107">
        <f t="shared" si="23"/>
        <v>166.77709300000001</v>
      </c>
      <c r="J136" s="107">
        <f t="shared" si="23"/>
        <v>147.58979299999999</v>
      </c>
      <c r="K136" s="107">
        <f t="shared" si="23"/>
        <v>156.05254400000001</v>
      </c>
      <c r="L136" s="107">
        <f t="shared" si="23"/>
        <v>143.99597600000001</v>
      </c>
      <c r="M136" s="107">
        <f t="shared" si="23"/>
        <v>142.89773500000001</v>
      </c>
      <c r="N136" s="107">
        <f t="shared" si="23"/>
        <v>147.24789200000001</v>
      </c>
      <c r="O136" s="124">
        <f>HLOOKUP(O$117,$86:$115,18,FALSE)+HLOOKUP(O$117,$86:$115,22,FALSE)</f>
        <v>156.974729</v>
      </c>
    </row>
    <row r="137" spans="1:15">
      <c r="A137" s="206"/>
      <c r="B137" s="105" t="s">
        <v>9</v>
      </c>
      <c r="C137" s="107">
        <f>HLOOKUP(C$117,$86:$115,19,FALSE)</f>
        <v>15.379733999999999</v>
      </c>
      <c r="D137" s="107">
        <f t="shared" ref="D137:O137" si="24">HLOOKUP(D$117,$86:$115,19,FALSE)</f>
        <v>16.795183000000002</v>
      </c>
      <c r="E137" s="107">
        <f t="shared" si="24"/>
        <v>18.188441000000001</v>
      </c>
      <c r="F137" s="107">
        <f t="shared" si="24"/>
        <v>30.707764999999998</v>
      </c>
      <c r="G137" s="107">
        <f t="shared" si="24"/>
        <v>24.331886999999998</v>
      </c>
      <c r="H137" s="107">
        <f t="shared" si="24"/>
        <v>26.447642999999999</v>
      </c>
      <c r="I137" s="107">
        <f t="shared" si="24"/>
        <v>28.032011000000001</v>
      </c>
      <c r="J137" s="107">
        <f t="shared" si="24"/>
        <v>23.301389</v>
      </c>
      <c r="K137" s="107">
        <f t="shared" si="24"/>
        <v>22.780221000000001</v>
      </c>
      <c r="L137" s="107">
        <f t="shared" si="24"/>
        <v>15.018001</v>
      </c>
      <c r="M137" s="107">
        <f t="shared" si="24"/>
        <v>13.174446</v>
      </c>
      <c r="N137" s="107">
        <f t="shared" si="24"/>
        <v>26.579124</v>
      </c>
      <c r="O137" s="124">
        <f t="shared" si="24"/>
        <v>16.279032000000001</v>
      </c>
    </row>
    <row r="138" spans="1:15">
      <c r="A138" s="206"/>
      <c r="B138" s="105" t="s">
        <v>8</v>
      </c>
      <c r="C138" s="107">
        <f>HLOOKUP(C$117,$86:$115,20,FALSE)</f>
        <v>101.065799</v>
      </c>
      <c r="D138" s="107">
        <f t="shared" ref="D138:O138" si="25">HLOOKUP(D$117,$86:$115,20,FALSE)</f>
        <v>105.31614999999999</v>
      </c>
      <c r="E138" s="107">
        <f t="shared" si="25"/>
        <v>105.510948</v>
      </c>
      <c r="F138" s="107">
        <f t="shared" si="25"/>
        <v>119.677701</v>
      </c>
      <c r="G138" s="107">
        <f t="shared" si="25"/>
        <v>90.916317000000006</v>
      </c>
      <c r="H138" s="107">
        <f t="shared" si="25"/>
        <v>96.450059999999993</v>
      </c>
      <c r="I138" s="107">
        <f t="shared" si="25"/>
        <v>118.36447</v>
      </c>
      <c r="J138" s="107">
        <f t="shared" si="25"/>
        <v>100.186932</v>
      </c>
      <c r="K138" s="107">
        <f t="shared" si="25"/>
        <v>116.04889799999999</v>
      </c>
      <c r="L138" s="107">
        <f t="shared" si="25"/>
        <v>98.285223000000002</v>
      </c>
      <c r="M138" s="107">
        <f t="shared" si="25"/>
        <v>106.53814</v>
      </c>
      <c r="N138" s="107">
        <f t="shared" si="25"/>
        <v>79.128829999999994</v>
      </c>
      <c r="O138" s="124">
        <f t="shared" si="25"/>
        <v>105.68064699999999</v>
      </c>
    </row>
    <row r="139" spans="1:15" ht="14.25">
      <c r="A139" s="206"/>
      <c r="B139" s="105" t="s">
        <v>74</v>
      </c>
      <c r="C139" s="107">
        <f>HLOOKUP(C$117,$86:$115,21,FALSE)</f>
        <v>250.52108799999999</v>
      </c>
      <c r="D139" s="107">
        <f t="shared" ref="D139:O139" si="26">HLOOKUP(D$117,$86:$115,21,FALSE)</f>
        <v>306.93109600000003</v>
      </c>
      <c r="E139" s="107">
        <f t="shared" si="26"/>
        <v>329.65078499999998</v>
      </c>
      <c r="F139" s="107">
        <f t="shared" si="26"/>
        <v>385.37423100000001</v>
      </c>
      <c r="G139" s="107">
        <f t="shared" si="26"/>
        <v>320.60776499999997</v>
      </c>
      <c r="H139" s="107">
        <f t="shared" si="26"/>
        <v>343.70541600000001</v>
      </c>
      <c r="I139" s="107">
        <f t="shared" si="26"/>
        <v>348.60822999999999</v>
      </c>
      <c r="J139" s="107">
        <f t="shared" si="26"/>
        <v>282.95672999999999</v>
      </c>
      <c r="K139" s="107">
        <f t="shared" si="26"/>
        <v>305.966994</v>
      </c>
      <c r="L139" s="107">
        <f t="shared" si="26"/>
        <v>315.19474500000001</v>
      </c>
      <c r="M139" s="107">
        <f t="shared" si="26"/>
        <v>259.74817300000001</v>
      </c>
      <c r="N139" s="107">
        <f t="shared" si="26"/>
        <v>269.75380799999999</v>
      </c>
      <c r="O139" s="124">
        <f t="shared" si="26"/>
        <v>264.109264</v>
      </c>
    </row>
    <row r="140" spans="1:15">
      <c r="A140" s="206"/>
      <c r="B140" s="105" t="s">
        <v>6</v>
      </c>
      <c r="C140" s="107">
        <f>HLOOKUP(C$117,$86:$115,23,FALSE)</f>
        <v>2.7590569999999999</v>
      </c>
      <c r="D140" s="107">
        <f t="shared" ref="D140:O140" si="27">HLOOKUP(D$117,$86:$115,23,FALSE)</f>
        <v>2.6998280000000001</v>
      </c>
      <c r="E140" s="107">
        <f t="shared" si="27"/>
        <v>1.3149919999999999</v>
      </c>
      <c r="F140" s="107">
        <f t="shared" si="27"/>
        <v>0.44324000000000002</v>
      </c>
      <c r="G140" s="107">
        <f t="shared" si="27"/>
        <v>1.0899650000000001</v>
      </c>
      <c r="H140" s="107">
        <f t="shared" si="27"/>
        <v>0.66913</v>
      </c>
      <c r="I140" s="107">
        <f t="shared" si="27"/>
        <v>0.66808100000000004</v>
      </c>
      <c r="J140" s="107">
        <f t="shared" si="27"/>
        <v>1.414679</v>
      </c>
      <c r="K140" s="107">
        <f t="shared" si="27"/>
        <v>1.5891550000000001</v>
      </c>
      <c r="L140" s="107">
        <f t="shared" si="27"/>
        <v>1.2945469999999999</v>
      </c>
      <c r="M140" s="107">
        <f t="shared" si="27"/>
        <v>2.2523740000000001</v>
      </c>
      <c r="N140" s="107">
        <f t="shared" si="27"/>
        <v>2.6292490000000002</v>
      </c>
      <c r="O140" s="124">
        <f t="shared" si="27"/>
        <v>3.5113029999999998</v>
      </c>
    </row>
    <row r="141" spans="1:15">
      <c r="A141" s="206"/>
      <c r="B141" s="105" t="s">
        <v>5</v>
      </c>
      <c r="C141" s="107">
        <f>HLOOKUP(C$117,$86:$115,24,FALSE)</f>
        <v>209.601507</v>
      </c>
      <c r="D141" s="107">
        <f t="shared" ref="D141:O141" si="28">HLOOKUP(D$117,$86:$115,24,FALSE)</f>
        <v>178.40540899999999</v>
      </c>
      <c r="E141" s="107">
        <f t="shared" si="28"/>
        <v>103.255752</v>
      </c>
      <c r="F141" s="107">
        <f t="shared" si="28"/>
        <v>57.760353000000002</v>
      </c>
      <c r="G141" s="107">
        <f t="shared" si="28"/>
        <v>99.230602000000005</v>
      </c>
      <c r="H141" s="107">
        <f t="shared" si="28"/>
        <v>70.608433000000005</v>
      </c>
      <c r="I141" s="107">
        <f t="shared" si="28"/>
        <v>53.195207000000003</v>
      </c>
      <c r="J141" s="107">
        <f t="shared" si="28"/>
        <v>108.751811</v>
      </c>
      <c r="K141" s="107">
        <f t="shared" si="28"/>
        <v>89.282236999999995</v>
      </c>
      <c r="L141" s="107">
        <f t="shared" si="28"/>
        <v>94.671989999999994</v>
      </c>
      <c r="M141" s="107">
        <f t="shared" si="28"/>
        <v>147.019094</v>
      </c>
      <c r="N141" s="107">
        <f t="shared" si="28"/>
        <v>129.86778200000001</v>
      </c>
      <c r="O141" s="124">
        <f t="shared" si="28"/>
        <v>169.46007700000001</v>
      </c>
    </row>
    <row r="142" spans="1:15">
      <c r="A142" s="206"/>
      <c r="B142" s="105" t="s">
        <v>4</v>
      </c>
      <c r="C142" s="107">
        <f>HLOOKUP(C$117,$86:$115,25,FALSE)</f>
        <v>35.178874</v>
      </c>
      <c r="D142" s="107">
        <f t="shared" ref="D142:O142" si="29">HLOOKUP(D$117,$86:$115,25,FALSE)</f>
        <v>33.707680000000003</v>
      </c>
      <c r="E142" s="107">
        <f t="shared" si="29"/>
        <v>31.407260000000001</v>
      </c>
      <c r="F142" s="107">
        <f t="shared" si="29"/>
        <v>29.906251000000001</v>
      </c>
      <c r="G142" s="107">
        <f t="shared" si="29"/>
        <v>25.097702999999999</v>
      </c>
      <c r="H142" s="107">
        <f t="shared" si="29"/>
        <v>23.682936000000002</v>
      </c>
      <c r="I142" s="107">
        <f t="shared" si="29"/>
        <v>24.559023</v>
      </c>
      <c r="J142" s="107">
        <f t="shared" si="29"/>
        <v>26.306543000000001</v>
      </c>
      <c r="K142" s="107">
        <f t="shared" si="29"/>
        <v>31.905954000000001</v>
      </c>
      <c r="L142" s="107">
        <f t="shared" si="29"/>
        <v>35.953691999999997</v>
      </c>
      <c r="M142" s="107">
        <f t="shared" si="29"/>
        <v>35.545333999999997</v>
      </c>
      <c r="N142" s="107">
        <f t="shared" si="29"/>
        <v>36.232920999999997</v>
      </c>
      <c r="O142" s="124">
        <f t="shared" si="29"/>
        <v>42.728755999999997</v>
      </c>
    </row>
    <row r="143" spans="1:15">
      <c r="A143" s="206"/>
      <c r="B143" s="105" t="s">
        <v>22</v>
      </c>
      <c r="C143" s="107">
        <f>HLOOKUP(C$117,$86:$115,26,FALSE)</f>
        <v>0.64607300000000001</v>
      </c>
      <c r="D143" s="107">
        <f t="shared" ref="D143:O143" si="30">HLOOKUP(D$117,$86:$115,26,FALSE)</f>
        <v>0.37482700000000002</v>
      </c>
      <c r="E143" s="107">
        <f t="shared" si="30"/>
        <v>0.37211699999999998</v>
      </c>
      <c r="F143" s="107">
        <f t="shared" si="30"/>
        <v>0.524733</v>
      </c>
      <c r="G143" s="107">
        <f t="shared" si="30"/>
        <v>0.42454199999999997</v>
      </c>
      <c r="H143" s="107">
        <f t="shared" si="30"/>
        <v>0.44537900000000002</v>
      </c>
      <c r="I143" s="107">
        <f t="shared" si="30"/>
        <v>0.50013399999999997</v>
      </c>
      <c r="J143" s="107">
        <f t="shared" si="30"/>
        <v>0.49944300000000003</v>
      </c>
      <c r="K143" s="107">
        <f t="shared" si="30"/>
        <v>0.57839200000000002</v>
      </c>
      <c r="L143" s="107">
        <f t="shared" si="30"/>
        <v>0.26424700000000001</v>
      </c>
      <c r="M143" s="107">
        <f t="shared" si="30"/>
        <v>0.430983</v>
      </c>
      <c r="N143" s="107">
        <f t="shared" si="30"/>
        <v>0.49796200000000002</v>
      </c>
      <c r="O143" s="124">
        <f t="shared" si="30"/>
        <v>0.62341999999999997</v>
      </c>
    </row>
    <row r="144" spans="1:15">
      <c r="A144" s="206"/>
      <c r="B144" s="117" t="s">
        <v>1</v>
      </c>
      <c r="C144" s="118">
        <f>HLOOKUP(C$117,$86:$115,28,FALSE)</f>
        <v>762.82525099999998</v>
      </c>
      <c r="D144" s="118">
        <f t="shared" ref="D144:O144" si="31">HLOOKUP(D$117,$86:$115,28,FALSE)</f>
        <v>802.65790300000003</v>
      </c>
      <c r="E144" s="118">
        <f t="shared" si="31"/>
        <v>744.75916099999995</v>
      </c>
      <c r="F144" s="118">
        <f t="shared" si="31"/>
        <v>803.86761799999999</v>
      </c>
      <c r="G144" s="118">
        <f t="shared" si="31"/>
        <v>730.19147599999997</v>
      </c>
      <c r="H144" s="118">
        <f t="shared" si="31"/>
        <v>733.35031600000002</v>
      </c>
      <c r="I144" s="118">
        <f t="shared" si="31"/>
        <v>741.00049100000001</v>
      </c>
      <c r="J144" s="118">
        <f t="shared" si="31"/>
        <v>691.29240300000004</v>
      </c>
      <c r="K144" s="118">
        <f t="shared" si="31"/>
        <v>724.47731899999997</v>
      </c>
      <c r="L144" s="118">
        <f t="shared" si="31"/>
        <v>704.93682799999999</v>
      </c>
      <c r="M144" s="118">
        <f t="shared" si="31"/>
        <v>707.88841100000002</v>
      </c>
      <c r="N144" s="118">
        <f t="shared" si="31"/>
        <v>692.21298300000001</v>
      </c>
      <c r="O144" s="118">
        <f t="shared" si="31"/>
        <v>759.65783099999999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263.81678599999998</v>
      </c>
      <c r="D146" s="130">
        <f t="shared" ref="D146:N146" si="32">SUM(D136:D138)</f>
        <v>280.24951799999997</v>
      </c>
      <c r="E146" s="130">
        <f t="shared" si="32"/>
        <v>278.46901400000002</v>
      </c>
      <c r="F146" s="130">
        <f t="shared" si="32"/>
        <v>329.55548099999999</v>
      </c>
      <c r="G146" s="130">
        <f t="shared" si="32"/>
        <v>283.46044599999999</v>
      </c>
      <c r="H146" s="130">
        <f t="shared" si="32"/>
        <v>293.93341900000001</v>
      </c>
      <c r="I146" s="130">
        <f t="shared" si="32"/>
        <v>313.17357400000003</v>
      </c>
      <c r="J146" s="130">
        <f t="shared" si="32"/>
        <v>271.07811399999997</v>
      </c>
      <c r="K146" s="130">
        <f t="shared" si="32"/>
        <v>294.881663</v>
      </c>
      <c r="L146" s="130">
        <f t="shared" si="32"/>
        <v>257.29920000000004</v>
      </c>
      <c r="M146" s="130">
        <f t="shared" si="32"/>
        <v>262.610321</v>
      </c>
      <c r="N146" s="130">
        <f t="shared" si="32"/>
        <v>252.95584600000001</v>
      </c>
      <c r="O146" s="131">
        <f>SUM(O136:O138)</f>
        <v>278.93440799999996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124</v>
      </c>
      <c r="B152" s="159" t="s">
        <v>125</v>
      </c>
      <c r="C152" s="175">
        <v>-7.2279999999999997E-2</v>
      </c>
      <c r="D152" s="175">
        <v>3.7699999999999999E-3</v>
      </c>
      <c r="E152" s="175">
        <v>-1.9050000000000001E-2</v>
      </c>
      <c r="F152" s="175">
        <v>-5.7000000000000002E-2</v>
      </c>
      <c r="G152" s="175">
        <v>-1.2109999999999999E-2</v>
      </c>
      <c r="H152" s="175">
        <v>-8.1999999999999998E-4</v>
      </c>
      <c r="I152" s="175">
        <v>-2.2210000000000001E-2</v>
      </c>
      <c r="J152" s="175">
        <v>1.0919999999999999E-2</v>
      </c>
      <c r="K152" s="175">
        <v>-6.0000000000000001E-3</v>
      </c>
      <c r="L152" s="175">
        <v>-1.1100000000000001E-3</v>
      </c>
      <c r="M152" s="175">
        <v>-7.6800000000000002E-3</v>
      </c>
      <c r="N152" s="175">
        <v>2.7899999999999999E-3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124</v>
      </c>
      <c r="B158" s="159" t="s">
        <v>125</v>
      </c>
      <c r="C158" s="175">
        <v>-4.15E-3</v>
      </c>
      <c r="D158" s="175">
        <v>6.4200000000000004E-3</v>
      </c>
      <c r="E158" s="175">
        <v>-2.0300000000000001E-3</v>
      </c>
      <c r="F158" s="175">
        <v>-8.5400000000000007E-3</v>
      </c>
      <c r="G158" s="175">
        <v>1.6899999999999998E-2</v>
      </c>
      <c r="H158" s="175">
        <v>2.0000000000000001E-4</v>
      </c>
      <c r="I158" s="175">
        <v>-1.6800000000000001E-3</v>
      </c>
      <c r="J158" s="175">
        <v>1.8380000000000001E-2</v>
      </c>
      <c r="K158" s="175">
        <v>3.022E-2</v>
      </c>
      <c r="L158" s="175">
        <v>-2.7999999999999998E-4</v>
      </c>
      <c r="M158" s="175">
        <v>2.14E-3</v>
      </c>
      <c r="N158" s="175">
        <v>2.836E-2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V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2024-08-16T12:28:21Z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