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ENE\INF_ELABORADA\"/>
    </mc:Choice>
  </mc:AlternateContent>
  <xr:revisionPtr revIDLastSave="0" documentId="8_{999B935F-0866-41DC-B021-9AD40E9989D5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Indice" sheetId="16" r:id="rId1"/>
    <sheet name="SN1" sheetId="8" r:id="rId2"/>
    <sheet name="SN2" sheetId="10" r:id="rId3"/>
    <sheet name="SN3" sheetId="22" r:id="rId4"/>
    <sheet name="SN4" sheetId="2" r:id="rId5"/>
    <sheet name="SN5" sheetId="13" r:id="rId6"/>
    <sheet name="SN6" sheetId="5" r:id="rId7"/>
    <sheet name="SN7" sheetId="7" r:id="rId8"/>
    <sheet name="Dat_01" sheetId="18" r:id="rId9"/>
    <sheet name="Mozart Reports" sheetId="19" state="veryHidden" r:id="rId10"/>
  </sheets>
  <definedNames>
    <definedName name="_xlnm.Print_Area" localSheetId="3">#REF!</definedName>
    <definedName name="_xlnm.Print_Area">#REF!</definedName>
    <definedName name="_xlnm.Database" localSheetId="3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3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3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3">#REF!</definedName>
    <definedName name="MSTR.BANDA_PARA_CONSEJO_PROCESOS">#REF!</definedName>
    <definedName name="MSTR.BANDA_PARA_CONSEJO_PROCESOS1" localSheetId="3">#REF!</definedName>
    <definedName name="MSTR.BANDA_PARA_CONSEJO_PROCESOS1">#REF!</definedName>
    <definedName name="MSTR.BANDA_PARA_CONSEJO_PROCESOS10" localSheetId="3">#REF!</definedName>
    <definedName name="MSTR.BANDA_PARA_CONSEJO_PROCESOS10">#REF!</definedName>
    <definedName name="MSTR.BANDA_PARA_CONSEJO_PROCESOS2" localSheetId="3">#REF!</definedName>
    <definedName name="MSTR.BANDA_PARA_CONSEJO_PROCESOS2">#REF!</definedName>
    <definedName name="MSTR.BANDA_PARA_CONSEJO_PROCESOS3" localSheetId="3">#REF!</definedName>
    <definedName name="MSTR.BANDA_PARA_CONSEJO_PROCESOS3">#REF!</definedName>
    <definedName name="MSTR.BANDA_PARA_CONSEJO_PROCESOS4" localSheetId="3">#REF!</definedName>
    <definedName name="MSTR.BANDA_PARA_CONSEJO_PROCESOS4">#REF!</definedName>
    <definedName name="MSTR.BANDA_PARA_CONSEJO_PROCESOS5" localSheetId="3">#REF!</definedName>
    <definedName name="MSTR.BANDA_PARA_CONSEJO_PROCESOS5">#REF!</definedName>
    <definedName name="MSTR.BANDA_PARA_CONSEJO_PROCESOS6" localSheetId="3">#REF!</definedName>
    <definedName name="MSTR.BANDA_PARA_CONSEJO_PROCESOS6">#REF!</definedName>
    <definedName name="MSTR.BANDA_PARA_CONSEJO_PROCESOS7" localSheetId="3">#REF!</definedName>
    <definedName name="MSTR.BANDA_PARA_CONSEJO_PROCESOS7">#REF!</definedName>
    <definedName name="MSTR.BANDA_PARA_CONSEJO_PROCESOS8" localSheetId="3">#REF!</definedName>
    <definedName name="MSTR.BANDA_PARA_CONSEJO_PROCESOS8">#REF!</definedName>
    <definedName name="MSTR.BANDA_PARA_CONSEJO_PROCESOS9" localSheetId="3">#REF!</definedName>
    <definedName name="MSTR.BANDA_PARA_CONSEJO_PROCESOS9">#REF!</definedName>
    <definedName name="MSTR.Liquidación_por_Segmentos" localSheetId="3">#REF!</definedName>
    <definedName name="MSTR.Liquidación_por_Segmentos">#REF!</definedName>
    <definedName name="MSTR.Liquidación_por_Segmentos1" localSheetId="3">#REF!</definedName>
    <definedName name="MSTR.Liquidación_por_Segmentos1">#REF!</definedName>
    <definedName name="MSTR.Liquidación_por_Segmentos10" localSheetId="3">#REF!</definedName>
    <definedName name="MSTR.Liquidación_por_Segmentos10">#REF!</definedName>
    <definedName name="MSTR.Liquidación_por_Segmentos11" localSheetId="3">#REF!</definedName>
    <definedName name="MSTR.Liquidación_por_Segmentos11">#REF!</definedName>
    <definedName name="MSTR.Liquidación_por_Segmentos2" localSheetId="3">#REF!</definedName>
    <definedName name="MSTR.Liquidación_por_Segmentos2">#REF!</definedName>
    <definedName name="MSTR.Liquidación_por_Segmentos3" localSheetId="3">#REF!</definedName>
    <definedName name="MSTR.Liquidación_por_Segmentos3">#REF!</definedName>
    <definedName name="MSTR.Liquidación_por_Segmentos4" localSheetId="3">#REF!</definedName>
    <definedName name="MSTR.Liquidación_por_Segmentos4">#REF!</definedName>
    <definedName name="MSTR.Liquidación_por_Segmentos5" localSheetId="3">#REF!</definedName>
    <definedName name="MSTR.Liquidación_por_Segmentos5">#REF!</definedName>
    <definedName name="MSTR.Liquidación_por_Segmentos6" localSheetId="3">#REF!</definedName>
    <definedName name="MSTR.Liquidación_por_Segmentos6">#REF!</definedName>
    <definedName name="MSTR.Liquidación_por_Segmentos7" localSheetId="3">#REF!</definedName>
    <definedName name="MSTR.Liquidación_por_Segmentos7">#REF!</definedName>
    <definedName name="MSTR.Liquidación_por_Segmentos8" localSheetId="3">#REF!</definedName>
    <definedName name="MSTR.Liquidación_por_Segmentos8">#REF!</definedName>
    <definedName name="MSTR.Liquidación_por_Segmentos9" localSheetId="3">#REF!</definedName>
    <definedName name="MSTR.Liquidación_por_Segmentos9">#REF!</definedName>
    <definedName name="MSTR.Serie_Balance_Nuevo_Energía_Eléctrica_Mensual.1" localSheetId="3">#REF!</definedName>
    <definedName name="MSTR.Serie_Balance_Nuevo_Energía_Eléctrica_Mensual.1">#REF!</definedName>
    <definedName name="MSTR.Serie_Balance_Nuevo_Energía_Eléctrica_Mes_Baleares" localSheetId="3">#REF!</definedName>
    <definedName name="MSTR.Serie_Balance_Nuevo_Energía_Eléctrica_Mes_Baleares">#REF!</definedName>
    <definedName name="MSTR.Variación_y_componentes_mensual_de_la_demanda">Dat_01!$A$153:$N$156</definedName>
    <definedName name="MSTR.Variación_y_componentes_mensual_de_la_demanda.1" xml:space="preserve">                               Dat_01!$A$159:$N$162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Dat_01!$A$85:$P$114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7" i="18" l="1"/>
  <c r="C68" i="18" l="1"/>
  <c r="B80" i="18"/>
  <c r="C78" i="18"/>
  <c r="C70" i="18"/>
  <c r="C69" i="18"/>
  <c r="G68" i="18"/>
  <c r="C80" i="18" l="1"/>
  <c r="S27" i="18" l="1"/>
  <c r="R27" i="18"/>
  <c r="D79" i="18"/>
  <c r="D78" i="18"/>
  <c r="D69" i="18"/>
  <c r="D68" i="18"/>
  <c r="G27" i="22" l="1"/>
  <c r="G24" i="22"/>
  <c r="G26" i="22"/>
  <c r="G25" i="22"/>
  <c r="F26" i="22"/>
  <c r="F25" i="22"/>
  <c r="F27" i="22" s="1"/>
  <c r="M29" i="22"/>
  <c r="L29" i="22"/>
  <c r="K29" i="22"/>
  <c r="J29" i="22"/>
  <c r="I29" i="22"/>
  <c r="H29" i="22"/>
  <c r="G29" i="22"/>
  <c r="G28" i="22"/>
  <c r="F29" i="22"/>
  <c r="F28" i="22"/>
  <c r="K9" i="10" l="1"/>
  <c r="J9" i="10"/>
  <c r="I9" i="10"/>
  <c r="H9" i="10"/>
  <c r="G9" i="10"/>
  <c r="F9" i="10"/>
  <c r="K9" i="8"/>
  <c r="J9" i="8"/>
  <c r="I9" i="8"/>
  <c r="H9" i="8"/>
  <c r="G9" i="8"/>
  <c r="F9" i="8"/>
  <c r="C150" i="18"/>
  <c r="D139" i="18"/>
  <c r="E139" i="18"/>
  <c r="F139" i="18"/>
  <c r="G139" i="18"/>
  <c r="H139" i="18"/>
  <c r="I139" i="18"/>
  <c r="J139" i="18"/>
  <c r="K139" i="18"/>
  <c r="L139" i="18"/>
  <c r="M139" i="18"/>
  <c r="N139" i="18"/>
  <c r="O139" i="18"/>
  <c r="D140" i="18"/>
  <c r="E140" i="18"/>
  <c r="F140" i="18"/>
  <c r="G140" i="18"/>
  <c r="H140" i="18"/>
  <c r="I140" i="18"/>
  <c r="J140" i="18"/>
  <c r="K140" i="18"/>
  <c r="L140" i="18"/>
  <c r="M140" i="18"/>
  <c r="N140" i="18"/>
  <c r="O140" i="18"/>
  <c r="D141" i="18"/>
  <c r="E141" i="18"/>
  <c r="F141" i="18"/>
  <c r="G141" i="18"/>
  <c r="H141" i="18"/>
  <c r="I141" i="18"/>
  <c r="J141" i="18"/>
  <c r="K141" i="18"/>
  <c r="L141" i="18"/>
  <c r="M141" i="18"/>
  <c r="N141" i="18"/>
  <c r="O141" i="18"/>
  <c r="D142" i="18"/>
  <c r="E142" i="18"/>
  <c r="F142" i="18"/>
  <c r="G142" i="18"/>
  <c r="H142" i="18"/>
  <c r="I142" i="18"/>
  <c r="J142" i="18"/>
  <c r="K142" i="18"/>
  <c r="L142" i="18"/>
  <c r="M142" i="18"/>
  <c r="N142" i="18"/>
  <c r="O142" i="18"/>
  <c r="D143" i="18"/>
  <c r="E143" i="18"/>
  <c r="F143" i="18"/>
  <c r="G143" i="18"/>
  <c r="H143" i="18"/>
  <c r="I143" i="18"/>
  <c r="J143" i="18"/>
  <c r="K143" i="18"/>
  <c r="L143" i="18"/>
  <c r="M143" i="18"/>
  <c r="N143" i="18"/>
  <c r="O143" i="18"/>
  <c r="D144" i="18"/>
  <c r="E144" i="18"/>
  <c r="F144" i="18"/>
  <c r="G144" i="18"/>
  <c r="H144" i="18"/>
  <c r="I144" i="18"/>
  <c r="J144" i="18"/>
  <c r="K144" i="18"/>
  <c r="L144" i="18"/>
  <c r="M144" i="18"/>
  <c r="N144" i="18"/>
  <c r="O144" i="18"/>
  <c r="D145" i="18"/>
  <c r="E145" i="18"/>
  <c r="F145" i="18"/>
  <c r="G145" i="18"/>
  <c r="H145" i="18"/>
  <c r="I145" i="18"/>
  <c r="J145" i="18"/>
  <c r="K145" i="18"/>
  <c r="L145" i="18"/>
  <c r="M145" i="18"/>
  <c r="N145" i="18"/>
  <c r="O145" i="18"/>
  <c r="D146" i="18"/>
  <c r="E146" i="18"/>
  <c r="F146" i="18"/>
  <c r="G146" i="18"/>
  <c r="H146" i="18"/>
  <c r="I146" i="18"/>
  <c r="J146" i="18"/>
  <c r="K146" i="18"/>
  <c r="L146" i="18"/>
  <c r="M146" i="18"/>
  <c r="N146" i="18"/>
  <c r="O146" i="18"/>
  <c r="D147" i="18"/>
  <c r="E147" i="18"/>
  <c r="F147" i="18"/>
  <c r="G147" i="18"/>
  <c r="H147" i="18"/>
  <c r="I147" i="18"/>
  <c r="J147" i="18"/>
  <c r="K147" i="18"/>
  <c r="L147" i="18"/>
  <c r="M147" i="18"/>
  <c r="N147" i="18"/>
  <c r="O147" i="18"/>
  <c r="D148" i="18"/>
  <c r="E148" i="18"/>
  <c r="F148" i="18"/>
  <c r="G148" i="18"/>
  <c r="H148" i="18"/>
  <c r="I148" i="18"/>
  <c r="J148" i="18"/>
  <c r="K148" i="18"/>
  <c r="L148" i="18"/>
  <c r="M148" i="18"/>
  <c r="N148" i="18"/>
  <c r="O148" i="18"/>
  <c r="C148" i="18"/>
  <c r="C147" i="18"/>
  <c r="C146" i="18"/>
  <c r="C145" i="18"/>
  <c r="C144" i="18"/>
  <c r="C143" i="18"/>
  <c r="C142" i="18"/>
  <c r="C141" i="18"/>
  <c r="C140" i="18"/>
  <c r="C139" i="18"/>
  <c r="D133" i="18"/>
  <c r="E133" i="18"/>
  <c r="F133" i="18"/>
  <c r="G133" i="18"/>
  <c r="H133" i="18"/>
  <c r="I133" i="18"/>
  <c r="J133" i="18"/>
  <c r="K133" i="18"/>
  <c r="L133" i="18"/>
  <c r="M133" i="18"/>
  <c r="N133" i="18"/>
  <c r="O133" i="18"/>
  <c r="D134" i="18"/>
  <c r="E134" i="18"/>
  <c r="F134" i="18"/>
  <c r="G134" i="18"/>
  <c r="H134" i="18"/>
  <c r="I134" i="18"/>
  <c r="J134" i="18"/>
  <c r="K134" i="18"/>
  <c r="L134" i="18"/>
  <c r="M134" i="18"/>
  <c r="N134" i="18"/>
  <c r="O134" i="18"/>
  <c r="D135" i="18"/>
  <c r="E135" i="18"/>
  <c r="F135" i="18"/>
  <c r="G135" i="18"/>
  <c r="H135" i="18"/>
  <c r="I135" i="18"/>
  <c r="J135" i="18"/>
  <c r="K135" i="18"/>
  <c r="L135" i="18"/>
  <c r="M135" i="18"/>
  <c r="N135" i="18"/>
  <c r="O135" i="18"/>
  <c r="D136" i="18"/>
  <c r="E136" i="18"/>
  <c r="F136" i="18"/>
  <c r="G136" i="18"/>
  <c r="H136" i="18"/>
  <c r="I136" i="18"/>
  <c r="J136" i="18"/>
  <c r="K136" i="18"/>
  <c r="L136" i="18"/>
  <c r="M136" i="18"/>
  <c r="N136" i="18"/>
  <c r="O136" i="18"/>
  <c r="C136" i="18"/>
  <c r="C135" i="18"/>
  <c r="C134" i="18"/>
  <c r="C133" i="18"/>
  <c r="C131" i="18"/>
  <c r="C132" i="18"/>
  <c r="C121" i="18"/>
  <c r="G77" i="18"/>
  <c r="G76" i="18"/>
  <c r="G75" i="18"/>
  <c r="G74" i="18"/>
  <c r="G73" i="18"/>
  <c r="G72" i="18"/>
  <c r="G71" i="18"/>
  <c r="G70" i="18"/>
  <c r="G69" i="18"/>
  <c r="B47" i="18"/>
  <c r="C27" i="18" l="1"/>
  <c r="B27" i="18"/>
  <c r="M12" i="22"/>
  <c r="K15" i="22"/>
  <c r="M15" i="22"/>
  <c r="K12" i="22"/>
  <c r="J12" i="22"/>
  <c r="J15" i="22" s="1"/>
  <c r="F11" i="22"/>
  <c r="G13" i="22"/>
  <c r="G22" i="22"/>
  <c r="G11" i="22"/>
  <c r="I11" i="22"/>
  <c r="C47" i="18" l="1"/>
  <c r="I17" i="22" l="1"/>
  <c r="G17" i="22"/>
  <c r="H17" i="22"/>
  <c r="I13" i="22"/>
  <c r="M20" i="22"/>
  <c r="K20" i="22"/>
  <c r="M18" i="22"/>
  <c r="I9" i="22"/>
  <c r="K18" i="22" l="1"/>
  <c r="B56" i="18" l="1"/>
  <c r="D72" i="18" l="1"/>
  <c r="G52" i="18" l="1"/>
  <c r="B52" i="18" l="1"/>
  <c r="D71" i="18" l="1"/>
  <c r="D77" i="18"/>
  <c r="D76" i="18"/>
  <c r="D75" i="18"/>
  <c r="D74" i="18"/>
  <c r="D73" i="18"/>
  <c r="D70" i="18"/>
  <c r="C75" i="18" l="1"/>
  <c r="C76" i="18"/>
  <c r="C71" i="18"/>
  <c r="C73" i="18"/>
  <c r="C77" i="18"/>
  <c r="C74" i="18"/>
  <c r="D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O119" i="18" l="1"/>
  <c r="O121" i="18" l="1"/>
  <c r="D27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K24" i="22" l="1"/>
  <c r="I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H15" i="22" l="1"/>
  <c r="J20" i="22"/>
  <c r="J24" i="22" s="1"/>
  <c r="L20" i="22"/>
  <c r="L24" i="22" s="1"/>
  <c r="L15" i="22"/>
  <c r="F15" i="22"/>
  <c r="F24" i="22"/>
  <c r="H20" i="22"/>
  <c r="I20" i="22" l="1"/>
  <c r="H24" i="22"/>
  <c r="O138" i="18" l="1"/>
  <c r="N138" i="18"/>
  <c r="M138" i="18"/>
  <c r="L138" i="18"/>
  <c r="K138" i="18"/>
  <c r="J138" i="18"/>
  <c r="I138" i="18"/>
  <c r="H138" i="18"/>
  <c r="G138" i="18"/>
  <c r="F138" i="18"/>
  <c r="E138" i="18"/>
  <c r="D138" i="18"/>
  <c r="C138" i="18"/>
  <c r="O120" i="18"/>
  <c r="N120" i="18"/>
  <c r="M120" i="18"/>
  <c r="L120" i="18"/>
  <c r="K120" i="18"/>
  <c r="J120" i="18"/>
  <c r="I120" i="18"/>
  <c r="H120" i="18"/>
  <c r="G120" i="18"/>
  <c r="F120" i="18"/>
  <c r="E120" i="18"/>
  <c r="D120" i="18"/>
  <c r="C120" i="18"/>
  <c r="O125" i="18" l="1"/>
  <c r="O122" i="18"/>
  <c r="N119" i="18"/>
  <c r="O123" i="18"/>
  <c r="O124" i="18"/>
  <c r="O126" i="18"/>
  <c r="O127" i="18"/>
  <c r="O128" i="18"/>
  <c r="O129" i="18"/>
  <c r="O130" i="18"/>
  <c r="O131" i="18"/>
  <c r="O132" i="18"/>
  <c r="O150" i="18" l="1"/>
  <c r="O137" i="18"/>
  <c r="N122" i="18"/>
  <c r="N125" i="18"/>
  <c r="M119" i="18"/>
  <c r="N121" i="18"/>
  <c r="N123" i="18"/>
  <c r="N124" i="18"/>
  <c r="N126" i="18"/>
  <c r="N127" i="18"/>
  <c r="N128" i="18"/>
  <c r="N129" i="18"/>
  <c r="N130" i="18"/>
  <c r="N132" i="18"/>
  <c r="N131" i="18"/>
  <c r="M122" i="18" l="1"/>
  <c r="M125" i="18"/>
  <c r="N137" i="18"/>
  <c r="N150" i="18"/>
  <c r="L119" i="18"/>
  <c r="M121" i="18"/>
  <c r="M123" i="18"/>
  <c r="M124" i="18"/>
  <c r="M126" i="18"/>
  <c r="M127" i="18"/>
  <c r="M128" i="18"/>
  <c r="M129" i="18"/>
  <c r="M130" i="18"/>
  <c r="M131" i="18"/>
  <c r="M132" i="18"/>
  <c r="L125" i="18" l="1"/>
  <c r="L122" i="18"/>
  <c r="M137" i="18"/>
  <c r="M150" i="18"/>
  <c r="K119" i="18"/>
  <c r="L121" i="18"/>
  <c r="L124" i="18"/>
  <c r="L128" i="18"/>
  <c r="L123" i="18"/>
  <c r="L127" i="18"/>
  <c r="L131" i="18"/>
  <c r="L126" i="18"/>
  <c r="L130" i="18"/>
  <c r="L129" i="18"/>
  <c r="L132" i="18"/>
  <c r="E3" i="16"/>
  <c r="M3" i="22" s="1"/>
  <c r="G8" i="22" s="1"/>
  <c r="I8" i="22" s="1"/>
  <c r="K8" i="22" s="1"/>
  <c r="M8" i="22" s="1"/>
  <c r="K122" i="18" l="1"/>
  <c r="K125" i="18"/>
  <c r="L137" i="18"/>
  <c r="E3" i="13"/>
  <c r="J119" i="18"/>
  <c r="K121" i="18"/>
  <c r="K123" i="18"/>
  <c r="K124" i="18"/>
  <c r="K126" i="18"/>
  <c r="K127" i="18"/>
  <c r="K128" i="18"/>
  <c r="K129" i="18"/>
  <c r="K130" i="18"/>
  <c r="K131" i="18"/>
  <c r="K132" i="18"/>
  <c r="L150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2" i="18"/>
  <c r="J125" i="18"/>
  <c r="K137" i="18"/>
  <c r="I119" i="18"/>
  <c r="J121" i="18"/>
  <c r="J123" i="18"/>
  <c r="J124" i="18"/>
  <c r="J126" i="18"/>
  <c r="J127" i="18"/>
  <c r="J128" i="18"/>
  <c r="J129" i="18"/>
  <c r="J130" i="18"/>
  <c r="J131" i="18"/>
  <c r="J132" i="18"/>
  <c r="K150" i="18"/>
  <c r="I122" i="18" l="1"/>
  <c r="I125" i="18"/>
  <c r="J137" i="18"/>
  <c r="J150" i="18"/>
  <c r="H119" i="18"/>
  <c r="I121" i="18"/>
  <c r="I123" i="18"/>
  <c r="I124" i="18"/>
  <c r="I126" i="18"/>
  <c r="I127" i="18"/>
  <c r="I128" i="18"/>
  <c r="I129" i="18"/>
  <c r="I130" i="18"/>
  <c r="I131" i="18"/>
  <c r="I132" i="18"/>
  <c r="H62" i="18"/>
  <c r="C63" i="18"/>
  <c r="H125" i="18" l="1"/>
  <c r="H122" i="18"/>
  <c r="I137" i="18"/>
  <c r="I150" i="18"/>
  <c r="G119" i="18"/>
  <c r="H121" i="18"/>
  <c r="H123" i="18"/>
  <c r="H127" i="18"/>
  <c r="H131" i="18"/>
  <c r="H128" i="18"/>
  <c r="H126" i="18"/>
  <c r="H130" i="18"/>
  <c r="H132" i="18"/>
  <c r="H129" i="18"/>
  <c r="H124" i="18"/>
  <c r="K8" i="10"/>
  <c r="I8" i="10"/>
  <c r="G125" i="18" l="1"/>
  <c r="G122" i="18"/>
  <c r="H137" i="18"/>
  <c r="H150" i="18"/>
  <c r="F119" i="18"/>
  <c r="G121" i="18"/>
  <c r="G123" i="18"/>
  <c r="G124" i="18"/>
  <c r="G126" i="18"/>
  <c r="G127" i="18"/>
  <c r="G128" i="18"/>
  <c r="G129" i="18"/>
  <c r="G130" i="18"/>
  <c r="G131" i="18"/>
  <c r="G132" i="18"/>
  <c r="K8" i="8"/>
  <c r="I8" i="8"/>
  <c r="F122" i="18" l="1"/>
  <c r="F125" i="18"/>
  <c r="G137" i="18"/>
  <c r="G150" i="18"/>
  <c r="E119" i="18"/>
  <c r="F121" i="18"/>
  <c r="F123" i="18"/>
  <c r="F124" i="18"/>
  <c r="F126" i="18"/>
  <c r="F127" i="18"/>
  <c r="F128" i="18"/>
  <c r="F129" i="18"/>
  <c r="F130" i="18"/>
  <c r="F131" i="18"/>
  <c r="F132" i="18"/>
  <c r="E12" i="16"/>
  <c r="E16" i="16"/>
  <c r="E15" i="16"/>
  <c r="E14" i="16"/>
  <c r="E13" i="16"/>
  <c r="E11" i="16"/>
  <c r="E9" i="16"/>
  <c r="E8" i="16"/>
  <c r="E122" i="18" l="1"/>
  <c r="E125" i="18"/>
  <c r="F137" i="18"/>
  <c r="F150" i="18"/>
  <c r="D119" i="18"/>
  <c r="E121" i="18"/>
  <c r="E123" i="18"/>
  <c r="E124" i="18"/>
  <c r="E126" i="18"/>
  <c r="E127" i="18"/>
  <c r="E128" i="18"/>
  <c r="E129" i="18"/>
  <c r="E130" i="18"/>
  <c r="E131" i="18"/>
  <c r="E132" i="18"/>
  <c r="D125" i="18" l="1"/>
  <c r="D122" i="18"/>
  <c r="E137" i="18"/>
  <c r="E150" i="18"/>
  <c r="C119" i="18"/>
  <c r="D121" i="18"/>
  <c r="D123" i="18"/>
  <c r="D126" i="18"/>
  <c r="D130" i="18"/>
  <c r="D131" i="18"/>
  <c r="D129" i="18"/>
  <c r="D124" i="18"/>
  <c r="D128" i="18"/>
  <c r="D127" i="18"/>
  <c r="D132" i="18"/>
  <c r="C122" i="18" l="1"/>
  <c r="C124" i="18"/>
  <c r="D137" i="18"/>
  <c r="C125" i="18"/>
  <c r="D150" i="18"/>
  <c r="C127" i="18"/>
  <c r="C123" i="18"/>
  <c r="C129" i="18"/>
  <c r="C128" i="18"/>
  <c r="C126" i="18"/>
  <c r="C130" i="18"/>
</calcChain>
</file>

<file path=xl/sharedStrings.xml><?xml version="1.0" encoding="utf-8"?>
<sst xmlns="http://schemas.openxmlformats.org/spreadsheetml/2006/main" count="443" uniqueCount="131">
  <si>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</si>
  <si>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</si>
  <si>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</si>
  <si>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</si>
  <si>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</si>
  <si>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</si>
  <si>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</si>
  <si>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</si>
  <si>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</si>
  <si>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</si>
  <si>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</si>
  <si>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</si>
  <si>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</si>
  <si>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</si>
  <si>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</si>
  <si>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</si>
  <si>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</si>
  <si>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</si>
  <si>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</si>
  <si>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</si>
  <si>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</si>
  <si>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</si>
  <si>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</si>
  <si>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</si>
  <si>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</si>
  <si>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</si>
  <si>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</si>
  <si>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MW</t>
  </si>
  <si>
    <t>Estructura de potencia instalada mensual. Islas Baleares</t>
  </si>
  <si>
    <t>Estructura de potencia instalada mensual. Islas Canarias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</si>
  <si>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</si>
  <si>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</si>
  <si>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</si>
  <si>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</si>
  <si>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</si>
  <si>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</si>
  <si>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</si>
  <si>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</si>
  <si>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</si>
  <si>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</si>
  <si>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</si>
  <si>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</si>
  <si>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</si>
  <si>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</si>
  <si>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</si>
  <si>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</si>
  <si>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</si>
  <si>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</si>
  <si>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</si>
  <si>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</si>
  <si>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</si>
  <si>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</si>
  <si>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</si>
  <si>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</si>
  <si>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</si>
  <si>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</si>
  <si>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</si>
  <si>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</si>
  <si>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</si>
  <si>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</si>
  <si>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</si>
  <si>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</si>
  <si>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</si>
  <si>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</si>
  <si>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</si>
  <si>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</si>
  <si>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</si>
  <si>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</si>
  <si>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</si>
  <si>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</si>
  <si>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</si>
  <si>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</si>
  <si>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</si>
  <si>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</si>
  <si>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</si>
  <si>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</si>
  <si>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</si>
  <si>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</si>
  <si>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</si>
  <si>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</si>
  <si>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</si>
  <si>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</si>
  <si>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</si>
  <si>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</si>
  <si>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</si>
  <si>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</si>
  <si>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</si>
  <si>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</si>
  <si>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</si>
  <si>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</si>
  <si>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</si>
  <si>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</si>
  <si>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</si>
  <si>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</si>
  <si>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</si>
  <si>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</si>
  <si>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</si>
  <si>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</si>
  <si>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</si>
  <si>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</si>
  <si>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</si>
  <si>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</si>
  <si>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</si>
  <si>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</si>
  <si>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</si>
  <si>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</si>
  <si>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</si>
  <si>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</si>
  <si>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Enero 2025</t>
  </si>
  <si>
    <t>31/01/2025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</si>
  <si>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15:40:22" si="2.0000000195907813e27575488adade9f60a8ad0c371cb6b3c2174e2f8a601591cfd1635449ad3f929bd0434f0ee633eb6a8bc062e3628f06ad789b95cc1dfda351f86eae0b00d88db0d6d80efead554b850bdf7b937e17e8271a940303542c1c7c7fdbb29960c7812d4dc39131df1544f264c7cd353e7573a5db70d9778d748c8036672dd4909b80ef5eecb6ede8ff144e2e0bb0be9a5cf1b287266f5ae5a2410239.p.3082.0.1.Europe/Madrid.upriv*_1*_pidn2*_3*_session*-lat*_1.00000001fbdbfc2bfb53862e86135186a6ec0f4dbc6025e0611dae05ed86768a85e89cb355c7f93d5ca7f35b1cf1c55bcd893ea601d20e36.00000001e0f77cc2b4c3e26b1fef6fc65b6c06c1bc6025e0fc1bc15f06270e4817f9e40b70f94be97b5e14e5b9fab0fac5bbd3aa004a1b61.0.1.1.BDEbi.D066E1C611E6257C10D00080EF253B44.0-3082.1.1_-0.1.0_-3082.1.1_5.5.0.*0.00000001b15014c0e8511a17ad654676cdb5a65ac911585ab835fc33c53773a018945e8a5b6fa877.0.23.11*.2*.0400*.31152J.e.000000010e626bca9ef0b04851343da73a0eadf1c911585a9b8f8ee3aed4673fc7ccc073157920ff.0.10*.131*.122*.122.0.0" msgID="A7CCF52311EFE957123E0080EF757A38"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</si>
  <si>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Entrega batería</t>
  </si>
  <si>
    <t>Carga batería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</si>
  <si>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ut="02/12/2025 15:42:59" si="2.0000000195907813e27575488adade9f60a8ad0c371cb6b3c2174e2f8a601591cfd1635449ad3f929bd0434f0ee633eb6a8bc062e3628f06ad789b95cc1dfda351f86eae0b00d88db0d6d80efead554b850bdf7b937e17e8271a940303542c1c7c7fdbb29960c7812d4dc39131df1544f264c7cd353e7573a5db70d9778d748c8036672dd4909b80ef5eecb6ede8ff144e2e0bb0be9a5cf1b287266f5ae5a2410239.p.3082.0.1.Europe/Madrid.upriv*_1*_pidn2*_3*_session*-lat*_1.00000001fbdbfc2bfb53862e86135186a6ec0f4dbc6025e0611dae05ed86768a85e89cb355c7f93d5ca7f35b1cf1c55bcd893ea601d20e36.00000001e0f77cc2b4c3e26b1fef6fc65b6c06c1bc6025e0fc1bc15f06270e4817f9e40b70f94be97b5e14e5b9fab0fac5bbd3aa004a1b61.0.1.1.BDEbi.D066E1C611E6257C10D00080EF253B44.0-3082.1.1_-0.1.0_-3082.1.1_5.5.0.*0.00000001b15014c0e8511a17ad654676cdb5a65ac911585ab835fc33c53773a018945e8a5b6fa877.0.23.11*.2*.0400*.31152J.e.000000010e626bca9ef0b04851343da73a0eadf1c911585a9b8f8ee3aed4673fc7ccc073157920ff.0.10*.131*.122*.122.0.0" msgID="B65B601A11EFE957123E0080EFD53A37"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rows="23" cols="33" /&gt;&lt;esdo ews="" ece="" ptn="" /&gt;&lt;/excel&gt;&lt;pgs&gt;&lt;pg rows="19" cols="32" nrr="1736" nrc="3264"&gt;&lt;pg /&gt;&lt;bls&gt;&lt;bl sr="1" sc="1" rfetch="19" cfetch="32" posid="1" darows="0" dacols="1"&gt;&lt;excel&gt;&lt;epo ews="Dat_01" ece="A4" enr="MSTR.Balance_B.C._Mensual_Sistemas_Eléctricos_no_Peninsulares" ptn="" qtn="" rows="23" cols="33" /&gt;&lt;esdo ews="" ece="" ptn="" /&gt;&lt;/excel&gt;&lt;gridRng&gt;&lt;sect id="TITLE_AREA" rngprop="1:1:4:1" /&gt;&lt;sect id="ROWHEADERS_AREA" rngprop="5:1:19:1" /&gt;&lt;sect id="COLUMNHEADERS_AREA" rngprop="1:2:4:32" /&gt;&lt;sect id="DATA_AREA" rngprop="5:2:19:32" /&gt;&lt;/gridRng&gt;&lt;shapes /&gt;&lt;/bl&gt;&lt;/bls&gt;&lt;/pg&gt;&lt;/pgs&gt;&lt;/rptloc&gt;&lt;/mi&gt;</t>
  </si>
  <si>
    <t>Febrero 2025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</si>
  <si>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ut="02/12/2025 16:19:03" si="2.0000000195907813e27575488adade9f60a8ad0c371cb6b3c2174e2f8a601591cfd1635449ad3f929bd0434f0ee633eb6a8bc062e3628f06ad789b95cc1dfda351f86eae0b00d88db0d6d80efead554b850bdf7b937e17e8271a940303542c1c7c7fdbb29960c7812d4dc39131df1544f264c7cd353e7573a5db70d9778d748c8036672dd4909b80ef5eecb6ede8ff144e2e0bb0be9a5cf1b287266f5ae5a2410239.p.3082.0.1.Europe/Madrid.upriv*_1*_pidn2*_3*_session*-lat*_1.00000001fbdbfc2bfb53862e86135186a6ec0f4dbc6025e0611dae05ed86768a85e89cb355c7f93d5ca7f35b1cf1c55bcd893ea601d20e36.00000001e0f77cc2b4c3e26b1fef6fc65b6c06c1bc6025e0fc1bc15f06270e4817f9e40b70f94be97b5e14e5b9fab0fac5bbd3aa004a1b61.0.1.1.BDEbi.D066E1C611E6257C10D00080EF253B44.0-3082.1.1_-0.1.0_-3082.1.1_5.5.0.*0.00000001b15014c0e8511a17ad654676cdb5a65ac911585ab835fc33c53773a018945e8a5b6fa877.0.23.11*.2*.0400*.31152J.e.000000010e626bca9ef0b04851343da73a0eadf1c911585a9b8f8ee3aed4673fc7ccc073157920ff.0.10*.131*.122*.122.0.0" msgID="A61484DF11EFE95C123E0080EF451A38"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cols="16" /&gt;&lt;esdo ews="" ece="" ptn="" /&gt;&lt;/excel&gt;&lt;pgs&gt;&lt;pg rows="27" cols="14" nrr="2538" nrc="1942"&gt;&lt;pg /&gt;&lt;bls&gt;&lt;bl sr="1" sc="1" rfetch="27" cfetch="14" posid="1" darows="0" dacols="1"&gt;&lt;excel&gt;&lt;epo ews="Dat_01" ece="A85" enr="MSTR.Serie_Balance_B.C._Mensual_Baleares_y_Canarias" ptn="" qtn="" rows="30" cols="16" /&gt;&lt;esdo ews="" ece="" ptn="" /&gt;&lt;/excel&gt;&lt;gridRng&gt;&lt;sect id="TITLE_AREA" rngprop="1:1:3:2" /&gt;&lt;sect id="ROWHEADERS_AREA" rngprop="4:1:27:2" /&gt;&lt;sect id="COLUMNHEADERS_AREA" rngprop="1:3:3:14" /&gt;&lt;sect id="DATA_AREA" rngprop="4:3:27:14" /&gt;&lt;/gridRng&gt;&lt;shapes /&gt;&lt;/bl&gt;&lt;/bls&gt;&lt;/pg&gt;&lt;/pgs&gt;&lt;/rptloc&gt;&lt;/mi&gt;</t>
  </si>
  <si>
    <t>&lt;mi app="e" ver="22"&gt;&lt;rptloc guid="c8a810b5eb324a42b0eb076d726a40d1" rank="0" ds="1"&gt;&lt;ri hasPG="0" name="Variación y componentes mensual de la demanda" id="004850134E7745A2BD365FB53E00C967" path="Objetos públicos\Informes\Demanda B.C.\Variación y componentes mensual de la demanda" cf="0" prompt="1" ve="0" vm="0" flashpth="C:\Users\SEVPENMA\AppData\Local\Temp\" fimagepth="C:\Users\SEVPENMA\AppData\Local\Temp\"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ut="02/12/2025 16:42:10" si="2.0000000195907813e27575488adade9f60a8ad0c371cb6b3c2174e2f8a601591cfd1635449ad3f929bd0434f0ee633eb6a8bc062e3628f06ad789b95cc1dfda351f86eae0b00d88db0d6d80efead554b850bdf7b937e17e8271a940303542c1c7c7fdbb29960c7812d4dc39131df1544f264c7cd353e7573a5db70d9778d748c8036672dd4909b80ef5eecb6ede8ff144e2e0bb0be9a5cf1b287266f5ae5a2410239.p.3082.0.1.Europe/Madrid.upriv*_1*_pidn2*_3*_session*-lat*_1.00000001fbdbfc2bfb53862e86135186a6ec0f4dbc6025e0611dae05ed86768a85e89cb355c7f93d5ca7f35b1cf1c55bcd893ea601d20e36.00000001e0f77cc2b4c3e26b1fef6fc65b6c06c1bc6025e0fc1bc15f06270e4817f9e40b70f94be97b5e14e5b9fab0fac5bbd3aa004a1b61.0.1.1.BDEbi.D066E1C611E6257C10D00080EF253B44.0-3082.1.1_-0.1.0_-3082.1.1_5.5.0.*0.00000001b15014c0e8511a17ad654676cdb5a65ac911585ab835fc33c53773a018945e8a5b6fa877.0.23.11*.2*.0400*.31152J.e.000000010e626bca9ef0b04851343da73a0eadf1c911585a9b8f8ee3aed4673fc7ccc073157920ff.0.10*.131*.122*.122.0.0" msgID="4659476B11EFE960123E0080EF655936"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/&gt;&lt;/do&gt;&lt;pgs&gt;&lt;pg rows="1" cols="12" nrr="1" nrc="12"&gt;&lt;pg /&gt;&lt;bls&gt;&lt;bl sr="1" sc="1" rfetch="1" cfetch="12" posid="1" darows="0" dacols="1"&gt;&lt;excel&gt;&lt;epo ews="Dat_01" ece="A153"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</si>
  <si>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e897238f8122498097c5f8fa3b969c00</t>
  </si>
  <si>
    <t>&lt;mi app="e" ver="22"&gt;&lt;rptloc guid="d7d772cc3c7b45a998d873c2620c819c" rank="0" ds="1"&gt;&lt;ri hasPG="0" name="Variación y componentes mensual de la demanda" id="004850134E7745A2BD365FB53E00C967" path="Objetos públicos\Informes\Demanda B.C.\Variación y componentes mensual de la demanda" cf="0" prompt="1" ve="0" vm="0" flashpth="C:\Users\SEVPENMA\AppData\Local\Temp\" fimagepth="C:\Users\SEVPENMA\AppData\Local\Temp\"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ut="02/12/2025 16:44:55" si="2.0000000195907813e27575488adade9f60a8ad0c371cb6b3c2174e2f8a601591cfd1635449ad3f929bd0434f0ee633eb6a8bc062e3628f06ad789b95cc1dfda351f86eae0b00d88db0d6d80efead554b850bdf7b937e17e8271a940303542c1c7c7fdbb29960c7812d4dc39131df1544f264c7cd353e7573a5db70d9778d748c8036672dd4909b80ef5eecb6ede8ff144e2e0bb0be9a5cf1b287266f5ae5a2410239.p.3082.0.1.Europe/Madrid.upriv*_1*_pidn2*_3*_session*-lat*_1.00000001fbdbfc2bfb53862e86135186a6ec0f4dbc6025e0611dae05ed86768a85e89cb355c7f93d5ca7f35b1cf1c55bcd893ea601d20e36.00000001e0f77cc2b4c3e26b1fef6fc65b6c06c1bc6025e0fc1bc15f06270e4817f9e40b70f94be97b5e14e5b9fab0fac5bbd3aa004a1b61.0.1.1.BDEbi.D066E1C611E6257C10D00080EF253B44.0-3082.1.1_-0.1.0_-3082.1.1_5.5.0.*0.00000001b15014c0e8511a17ad654676cdb5a65ac911585ab835fc33c53773a018945e8a5b6fa877.0.23.11*.2*.0400*.31152J.e.000000010e626bca9ef0b04851343da73a0eadf1c911585a9b8f8ee3aed4673fc7ccc073157920ff.0.10*.131*.122*.122.0.0" msgID="AA339EF311EFE960123E0080EF95B835" /&gt;&lt;/ri&gt;&lt;do pa="0"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ece="A159" enr="MSTR.Variación_y_componentes_mensual_de_la_demanda.1" ptn="" qtn="" rows="4" cols="14" /&gt;&lt;esdo ews="" ece="" ptn="" /&gt;&lt;/excel&gt;&lt;pgs&gt;&lt;pg rows="1" cols="12" nrr="2" nrc="24"&gt;&lt;pg /&gt;&lt;bls&gt;&lt;bl sr="1" sc="1" rfetch="1" cfetch="12" posid="1" darows="0" dacols="1"&gt;&lt;excel&gt;&lt;epo ews="Dat_01" ece="A159"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</si>
  <si>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Saldo almacenamiento</t>
  </si>
  <si>
    <t>Estructura de potencia instalada de generación Islas Baleares</t>
  </si>
  <si>
    <t>Estructura de potencia instalada de generación Islas Canarias</t>
  </si>
  <si>
    <t xml:space="preserve">Evolución de la estructura de generación de las Islas Baleares
</t>
  </si>
  <si>
    <t xml:space="preserve">Evolución de la estructura de generación de las Islas Canarias
</t>
  </si>
  <si>
    <t>Cobertura de la demanda y estructura de generación mensual. Islas Baleares</t>
  </si>
  <si>
    <t>Estructura de generación mensual. Islas Canarias</t>
  </si>
  <si>
    <t>Estructura generación (%)</t>
  </si>
  <si>
    <t>Cobertura demanda (%)</t>
  </si>
  <si>
    <t>Estructura de generación mensual Islas Baleares</t>
  </si>
  <si>
    <t>Estructura de generación mensual Islas Canarias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</si>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</sst>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9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  <border>
      <left/>
      <right style="thin">
        <color indexed="64"/>
      </right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auto="1"/>
      </right>
      <top style="thin">
        <color rgb="FFA6A6A6"/>
      </top>
      <bottom style="thin">
        <color rgb="FFA6A6A6"/>
      </bottom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>
      <alignment horizontal="right" vertical="center"/>
    </xf>
    <xf numFmtId="10" fontId="34" fillId="5" borderId="10" xfId="17">
      <alignment horizontal="right" vertical="center"/>
    </xf>
    <xf numFmtId="164" fontId="32" fillId="6" borderId="10" xfId="29">
      <alignment horizontal="right" vertical="center"/>
    </xf>
    <xf numFmtId="10" fontId="32" fillId="6" borderId="10" xfId="15">
      <alignment horizontal="right" vertical="center"/>
    </xf>
    <xf numFmtId="165" fontId="34" fillId="5" borderId="10" xfId="16">
      <alignment horizontal="right" vertical="center"/>
    </xf>
    <xf numFmtId="165" fontId="32" fillId="6" borderId="10" xfId="13">
      <alignment horizontal="right" vertical="center"/>
    </xf>
    <xf numFmtId="10" fontId="19" fillId="5" borderId="10" xfId="33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0" fillId="0" borderId="18" xfId="0" applyBorder="1" applyAlignment="1">
      <alignment horizontal="left" vertical="center"/>
    </xf>
    <xf numFmtId="165" fontId="43" fillId="2" borderId="2" xfId="3" applyNumberFormat="1" applyFont="1" applyFill="1" applyBorder="1" applyAlignment="1">
      <alignment horizontal="right" indent="1"/>
    </xf>
    <xf numFmtId="165" fontId="43" fillId="2" borderId="33" xfId="3" applyNumberFormat="1" applyFont="1" applyFill="1" applyBorder="1" applyAlignment="1">
      <alignment horizontal="right" indent="1"/>
    </xf>
    <xf numFmtId="165" fontId="44" fillId="2" borderId="2" xfId="3" applyNumberFormat="1" applyFont="1" applyFill="1" applyBorder="1" applyAlignment="1">
      <alignment horizontal="right" indent="1"/>
    </xf>
    <xf numFmtId="165" fontId="44" fillId="2" borderId="35" xfId="3" applyNumberFormat="1" applyFont="1" applyFill="1" applyBorder="1" applyAlignment="1">
      <alignment horizontal="right" indent="1"/>
    </xf>
    <xf numFmtId="165" fontId="44" fillId="2" borderId="36" xfId="3" applyNumberFormat="1" applyFont="1" applyFill="1" applyBorder="1" applyAlignment="1">
      <alignment horizontal="right" indent="1"/>
    </xf>
    <xf numFmtId="165" fontId="44" fillId="2" borderId="37" xfId="3" applyNumberFormat="1" applyFont="1" applyFill="1" applyBorder="1" applyAlignment="1">
      <alignment horizontal="right" indent="1"/>
    </xf>
    <xf numFmtId="165" fontId="43" fillId="2" borderId="34" xfId="3" applyNumberFormat="1" applyFont="1" applyFill="1" applyBorder="1" applyAlignment="1">
      <alignment horizontal="right" indent="1"/>
    </xf>
    <xf numFmtId="165" fontId="43" fillId="2" borderId="38" xfId="3" applyNumberFormat="1" applyFont="1" applyFill="1" applyBorder="1" applyAlignment="1">
      <alignment horizontal="right" indent="1"/>
    </xf>
    <xf numFmtId="165" fontId="5" fillId="2" borderId="2" xfId="2" applyNumberFormat="1" applyFont="1" applyFill="1" applyBorder="1" applyAlignment="1">
      <alignment horizontal="left"/>
    </xf>
    <xf numFmtId="3" fontId="5" fillId="2" borderId="2" xfId="3" applyNumberFormat="1" applyFont="1" applyFill="1" applyBorder="1" applyAlignment="1">
      <alignment horizontal="right" indent="1"/>
    </xf>
    <xf numFmtId="165" fontId="5" fillId="2" borderId="2" xfId="3" applyNumberFormat="1" applyFont="1" applyFill="1" applyBorder="1" applyAlignment="1">
      <alignment horizontal="right" indent="1"/>
    </xf>
    <xf numFmtId="165" fontId="5" fillId="2" borderId="0" xfId="4" applyNumberFormat="1" applyFont="1" applyFill="1" applyAlignment="1">
      <alignment horizontal="left"/>
    </xf>
    <xf numFmtId="3" fontId="5" fillId="2" borderId="4" xfId="3" applyNumberFormat="1" applyFont="1" applyFill="1" applyBorder="1" applyAlignment="1">
      <alignment horizontal="right" indent="1"/>
    </xf>
    <xf numFmtId="174" fontId="45" fillId="0" borderId="0" xfId="34" applyNumberFormat="1" applyFont="1"/>
    <xf numFmtId="166" fontId="7" fillId="0" borderId="0" xfId="4" applyFont="1" applyAlignment="1">
      <alignment vertical="top" wrapText="1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004563"/>
      <color rgb="FF9A5CBC"/>
      <color rgb="FFED7D31"/>
      <color rgb="FFA0A0A0"/>
      <color rgb="FF666666"/>
      <color rgb="FFFFCCFF"/>
      <color rgb="FFFFCC66"/>
      <color rgb="FF00CCFF"/>
      <color rgb="FF8DA69F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5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Lbls>
            <c:dLbl>
              <c:idx val="0"/>
              <c:layout>
                <c:manualLayout>
                  <c:x val="0.17235772357723578"/>
                  <c:y val="-7.00000000000000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9186991869918699"/>
                  <c:y val="1.499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86178861788618"/>
                  <c:y val="4.4999999999999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-0.14959349593495938"/>
                  <c:y val="9.49999999999999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9918699186991871"/>
                  <c:y val="5.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6504065040650404"/>
                  <c:y val="-4.5000000000000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0001280327764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1138211382113822"/>
                  <c:y val="-0.14499999999999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2.6016260162601626E-2"/>
                  <c:y val="-0.17499999999999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0.1040650406504065"/>
                  <c:y val="-0.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Dat_01!$A$68:$A$78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Dat_01!$C$68:$C$78</c:f>
              <c:numCache>
                <c:formatCode>#,##0.0</c:formatCode>
                <c:ptCount val="11"/>
                <c:pt idx="0">
                  <c:v>1.2394258278443719</c:v>
                </c:pt>
                <c:pt idx="1">
                  <c:v>2.2973122463872264</c:v>
                </c:pt>
                <c:pt idx="2">
                  <c:v>6.3758634987144642</c:v>
                </c:pt>
                <c:pt idx="3">
                  <c:v>76.196978277151629</c:v>
                </c:pt>
                <c:pt idx="5">
                  <c:v>0.98638561061198171</c:v>
                </c:pt>
                <c:pt idx="6">
                  <c:v>2.711752937142422</c:v>
                </c:pt>
                <c:pt idx="7">
                  <c:v>2.711752937142422</c:v>
                </c:pt>
                <c:pt idx="8">
                  <c:v>0</c:v>
                </c:pt>
                <c:pt idx="9">
                  <c:v>7.411978470853386</c:v>
                </c:pt>
                <c:pt idx="10">
                  <c:v>6.8550194152099161E-2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5284552845528454"/>
                  <c:y val="-8.3529527559055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0.10687689648550032"/>
                  <c:y val="-0.147325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10.781131916895379</c:v>
                </c:pt>
                <c:pt idx="1">
                  <c:v>6.2308863566136656</c:v>
                </c:pt>
                <c:pt idx="2">
                  <c:v>26.957299581590398</c:v>
                </c:pt>
                <c:pt idx="3">
                  <c:v>36.781896577169185</c:v>
                </c:pt>
                <c:pt idx="4">
                  <c:v>0</c:v>
                </c:pt>
                <c:pt idx="5">
                  <c:v>0.51505382702481528</c:v>
                </c:pt>
                <c:pt idx="6">
                  <c:v>1.6717012176280563</c:v>
                </c:pt>
                <c:pt idx="7">
                  <c:v>1.6717012176280563</c:v>
                </c:pt>
                <c:pt idx="8">
                  <c:v>0.15901275619550298</c:v>
                </c:pt>
                <c:pt idx="9">
                  <c:v>15.055564431936405</c:v>
                </c:pt>
                <c:pt idx="10">
                  <c:v>0.17575211731854329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Dat_01!$B$121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Dat_01!$C$121:$O$121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25.151703999999999</c:v>
                </c:pt>
                <c:pt idx="5">
                  <c:v>29.836832000000001</c:v>
                </c:pt>
                <c:pt idx="6">
                  <c:v>3.0622039999999999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4.6319679999999996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Dat_01!$B$137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Dat_01!$C$137:$O$137</c:f>
              <c:numCache>
                <c:formatCode>#,##0.0</c:formatCode>
                <c:ptCount val="13"/>
                <c:pt idx="0">
                  <c:v>31.697628000000002</c:v>
                </c:pt>
                <c:pt idx="1">
                  <c:v>29.804130999999998</c:v>
                </c:pt>
                <c:pt idx="2">
                  <c:v>31.512943999999997</c:v>
                </c:pt>
                <c:pt idx="3">
                  <c:v>48.767392999999998</c:v>
                </c:pt>
                <c:pt idx="4">
                  <c:v>42.36271</c:v>
                </c:pt>
                <c:pt idx="5">
                  <c:v>62.186786999999995</c:v>
                </c:pt>
                <c:pt idx="6">
                  <c:v>104.34767600000001</c:v>
                </c:pt>
                <c:pt idx="7">
                  <c:v>121.139194</c:v>
                </c:pt>
                <c:pt idx="8">
                  <c:v>73.729137000000009</c:v>
                </c:pt>
                <c:pt idx="9">
                  <c:v>66.240075000000004</c:v>
                </c:pt>
                <c:pt idx="10">
                  <c:v>30.259830999999998</c:v>
                </c:pt>
                <c:pt idx="11">
                  <c:v>33.727081999999996</c:v>
                </c:pt>
                <c:pt idx="12">
                  <c:v>32.413293000000003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Dat_01!$B$124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245.660033</c:v>
                </c:pt>
                <c:pt idx="1">
                  <c:v>219.76708199999999</c:v>
                </c:pt>
                <c:pt idx="2">
                  <c:v>214.68396200000001</c:v>
                </c:pt>
                <c:pt idx="3">
                  <c:v>206.60469800000001</c:v>
                </c:pt>
                <c:pt idx="4">
                  <c:v>207.90606</c:v>
                </c:pt>
                <c:pt idx="5">
                  <c:v>213.69113200000001</c:v>
                </c:pt>
                <c:pt idx="6">
                  <c:v>274.34556800000001</c:v>
                </c:pt>
                <c:pt idx="7">
                  <c:v>334.32576699999998</c:v>
                </c:pt>
                <c:pt idx="8">
                  <c:v>246.11744899999999</c:v>
                </c:pt>
                <c:pt idx="9">
                  <c:v>233.64673300000001</c:v>
                </c:pt>
                <c:pt idx="10">
                  <c:v>228.35513399999999</c:v>
                </c:pt>
                <c:pt idx="11">
                  <c:v>287.61223999999999</c:v>
                </c:pt>
                <c:pt idx="12">
                  <c:v>284.762474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Dat_01!$B$127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24.205653000000002</c:v>
                </c:pt>
                <c:pt idx="1">
                  <c:v>30.786093000000001</c:v>
                </c:pt>
                <c:pt idx="2">
                  <c:v>45.328431999999999</c:v>
                </c:pt>
                <c:pt idx="3">
                  <c:v>44.651336999999998</c:v>
                </c:pt>
                <c:pt idx="4">
                  <c:v>58.329237999999997</c:v>
                </c:pt>
                <c:pt idx="5">
                  <c:v>53.302475000000001</c:v>
                </c:pt>
                <c:pt idx="6">
                  <c:v>60.169364999999999</c:v>
                </c:pt>
                <c:pt idx="7">
                  <c:v>55.465451999999999</c:v>
                </c:pt>
                <c:pt idx="8">
                  <c:v>43.998294999999999</c:v>
                </c:pt>
                <c:pt idx="9">
                  <c:v>38.814532</c:v>
                </c:pt>
                <c:pt idx="10">
                  <c:v>26.937676</c:v>
                </c:pt>
                <c:pt idx="11">
                  <c:v>24.958469999999998</c:v>
                </c:pt>
                <c:pt idx="12">
                  <c:v>27.699960999999998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0.10423</c:v>
                </c:pt>
                <c:pt idx="1">
                  <c:v>3.9530000000000003E-2</c:v>
                </c:pt>
                <c:pt idx="2">
                  <c:v>4.0002000000000003E-2</c:v>
                </c:pt>
                <c:pt idx="3">
                  <c:v>1.5544000000000001E-2</c:v>
                </c:pt>
                <c:pt idx="4">
                  <c:v>4.1384999999999998E-2</c:v>
                </c:pt>
                <c:pt idx="5">
                  <c:v>7.8099000000000002E-2</c:v>
                </c:pt>
                <c:pt idx="6">
                  <c:v>0.18402499999999999</c:v>
                </c:pt>
                <c:pt idx="7">
                  <c:v>0.28992600000000002</c:v>
                </c:pt>
                <c:pt idx="8">
                  <c:v>0.364813</c:v>
                </c:pt>
                <c:pt idx="9">
                  <c:v>0.34994999999999998</c:v>
                </c:pt>
                <c:pt idx="10">
                  <c:v>0.27039800000000003</c:v>
                </c:pt>
                <c:pt idx="11">
                  <c:v>0.23000100000000001</c:v>
                </c:pt>
                <c:pt idx="12">
                  <c:v>0.256185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Dat_01!$C$129:$O$129</c:f>
              <c:numCache>
                <c:formatCode>#,##0.0</c:formatCode>
                <c:ptCount val="13"/>
                <c:pt idx="0">
                  <c:v>3.9370180000000001</c:v>
                </c:pt>
                <c:pt idx="1">
                  <c:v>3.7397490000000002</c:v>
                </c:pt>
                <c:pt idx="2">
                  <c:v>3.4851179999999999</c:v>
                </c:pt>
                <c:pt idx="3">
                  <c:v>1.9095409999999999</c:v>
                </c:pt>
                <c:pt idx="4">
                  <c:v>3.5397620000000001</c:v>
                </c:pt>
                <c:pt idx="5">
                  <c:v>3.4609559999999999</c:v>
                </c:pt>
                <c:pt idx="6">
                  <c:v>3.2774670000000001</c:v>
                </c:pt>
                <c:pt idx="7">
                  <c:v>3.1243509999999999</c:v>
                </c:pt>
                <c:pt idx="8">
                  <c:v>2.778902</c:v>
                </c:pt>
                <c:pt idx="9">
                  <c:v>2.2852030000000001</c:v>
                </c:pt>
                <c:pt idx="10">
                  <c:v>1.8790750000000001</c:v>
                </c:pt>
                <c:pt idx="11">
                  <c:v>3.2668629999999999</c:v>
                </c:pt>
                <c:pt idx="12">
                  <c:v>3.6863090000000001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Dat_01!$B$130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Dat_01!$C$120:$O$120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Dat_01!$C$130:$O$130</c:f>
              <c:numCache>
                <c:formatCode>#,##0.0</c:formatCode>
                <c:ptCount val="13"/>
                <c:pt idx="0">
                  <c:v>10.485035</c:v>
                </c:pt>
                <c:pt idx="1">
                  <c:v>5.6085469999999997</c:v>
                </c:pt>
                <c:pt idx="2">
                  <c:v>12.829401000000001</c:v>
                </c:pt>
                <c:pt idx="3">
                  <c:v>11.323399</c:v>
                </c:pt>
                <c:pt idx="4">
                  <c:v>12.2750895</c:v>
                </c:pt>
                <c:pt idx="5">
                  <c:v>16.584269500000001</c:v>
                </c:pt>
                <c:pt idx="6">
                  <c:v>15.726691000000001</c:v>
                </c:pt>
                <c:pt idx="7">
                  <c:v>15.578734000000001</c:v>
                </c:pt>
                <c:pt idx="8">
                  <c:v>14.1961285</c:v>
                </c:pt>
                <c:pt idx="9">
                  <c:v>9.2427220000000005</c:v>
                </c:pt>
                <c:pt idx="10">
                  <c:v>9.5122354999999992</c:v>
                </c:pt>
                <c:pt idx="11">
                  <c:v>12.261645</c:v>
                </c:pt>
                <c:pt idx="12">
                  <c:v>10.134332000000001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Dat_01!$B$131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Dat_01!$C$131:$O$131</c:f>
              <c:numCache>
                <c:formatCode>#,##0.0</c:formatCode>
                <c:ptCount val="13"/>
                <c:pt idx="0">
                  <c:v>10.485035</c:v>
                </c:pt>
                <c:pt idx="1">
                  <c:v>5.6085469999999997</c:v>
                </c:pt>
                <c:pt idx="2">
                  <c:v>12.829401000000001</c:v>
                </c:pt>
                <c:pt idx="3">
                  <c:v>11.323399</c:v>
                </c:pt>
                <c:pt idx="4">
                  <c:v>12.2750895</c:v>
                </c:pt>
                <c:pt idx="5">
                  <c:v>16.584269500000001</c:v>
                </c:pt>
                <c:pt idx="6">
                  <c:v>15.726691000000001</c:v>
                </c:pt>
                <c:pt idx="7">
                  <c:v>15.578734000000001</c:v>
                </c:pt>
                <c:pt idx="8">
                  <c:v>14.1961285</c:v>
                </c:pt>
                <c:pt idx="9">
                  <c:v>9.2427220000000005</c:v>
                </c:pt>
                <c:pt idx="10">
                  <c:v>9.5122354999999992</c:v>
                </c:pt>
                <c:pt idx="11">
                  <c:v>12.261645</c:v>
                </c:pt>
                <c:pt idx="12">
                  <c:v>10.134332000000001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6422764227642275"/>
                  <c:y val="0.147666141732283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886178861788618"/>
                  <c:y val="-1.48039370078740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6260162601626016"/>
                  <c:y val="-8.78433070866142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14.520510875964336</c:v>
                </c:pt>
                <c:pt idx="1">
                  <c:v>15.506431052945672</c:v>
                </c:pt>
                <c:pt idx="2">
                  <c:v>14.371625316166488</c:v>
                </c:pt>
                <c:pt idx="3">
                  <c:v>25.769112689811202</c:v>
                </c:pt>
                <c:pt idx="4">
                  <c:v>1.1374856768555444</c:v>
                </c:pt>
                <c:pt idx="5">
                  <c:v>4.5261210178545216E-2</c:v>
                </c:pt>
                <c:pt idx="6">
                  <c:v>0.3370769073823236</c:v>
                </c:pt>
                <c:pt idx="7">
                  <c:v>19.298844032116406</c:v>
                </c:pt>
                <c:pt idx="8">
                  <c:v>8.7514349906635154</c:v>
                </c:pt>
                <c:pt idx="9">
                  <c:v>0.26221724791596651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4.8039370078740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51960784313724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25365853658536586"/>
                  <c:y val="1.2533194380114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4.1708352632391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20487817681326409"/>
                  <c:y val="-0.137254708970202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21.741961538051065</c:v>
                </c:pt>
                <c:pt idx="1">
                  <c:v>4.8979336131097648</c:v>
                </c:pt>
                <c:pt idx="2">
                  <c:v>10.956180446163126</c:v>
                </c:pt>
                <c:pt idx="3">
                  <c:v>45.291689401599982</c:v>
                </c:pt>
                <c:pt idx="4">
                  <c:v>0</c:v>
                </c:pt>
                <c:pt idx="5">
                  <c:v>3.7712744583361928E-2</c:v>
                </c:pt>
                <c:pt idx="6">
                  <c:v>0.16520760812875668</c:v>
                </c:pt>
                <c:pt idx="7">
                  <c:v>12.5243281458991</c:v>
                </c:pt>
                <c:pt idx="8">
                  <c:v>4.2358591870251212</c:v>
                </c:pt>
                <c:pt idx="9">
                  <c:v>0.14912731543971783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0.29624200000000001</c:v>
                </c:pt>
                <c:pt idx="1">
                  <c:v>0.28508299999999998</c:v>
                </c:pt>
                <c:pt idx="2">
                  <c:v>0.272924</c:v>
                </c:pt>
                <c:pt idx="3">
                  <c:v>0.258407</c:v>
                </c:pt>
                <c:pt idx="4">
                  <c:v>0.28213199999999999</c:v>
                </c:pt>
                <c:pt idx="5">
                  <c:v>0.27541500000000002</c:v>
                </c:pt>
                <c:pt idx="6">
                  <c:v>0.290603</c:v>
                </c:pt>
                <c:pt idx="7">
                  <c:v>0.28181699999999998</c:v>
                </c:pt>
                <c:pt idx="8">
                  <c:v>0.27621200000000001</c:v>
                </c:pt>
                <c:pt idx="9">
                  <c:v>0.29845300000000002</c:v>
                </c:pt>
                <c:pt idx="10">
                  <c:v>0.28431800000000002</c:v>
                </c:pt>
                <c:pt idx="11">
                  <c:v>0.28783500000000001</c:v>
                </c:pt>
                <c:pt idx="12">
                  <c:v>0.285242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Dat_01!$B$150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Dat_01!$C$150:$O$150</c:f>
              <c:numCache>
                <c:formatCode>#,##0</c:formatCode>
                <c:ptCount val="13"/>
                <c:pt idx="0">
                  <c:v>319.92200200000002</c:v>
                </c:pt>
                <c:pt idx="1">
                  <c:v>277.10369800000001</c:v>
                </c:pt>
                <c:pt idx="2">
                  <c:v>301.12815499999999</c:v>
                </c:pt>
                <c:pt idx="3">
                  <c:v>264.03856100000002</c:v>
                </c:pt>
                <c:pt idx="4">
                  <c:v>269.01460000000003</c:v>
                </c:pt>
                <c:pt idx="5">
                  <c:v>259.755742</c:v>
                </c:pt>
                <c:pt idx="6">
                  <c:v>285.99688500000002</c:v>
                </c:pt>
                <c:pt idx="7">
                  <c:v>273.11601300000001</c:v>
                </c:pt>
                <c:pt idx="8">
                  <c:v>259.42566099999999</c:v>
                </c:pt>
                <c:pt idx="9">
                  <c:v>266.89031299999999</c:v>
                </c:pt>
                <c:pt idx="10">
                  <c:v>284.150893</c:v>
                </c:pt>
                <c:pt idx="11">
                  <c:v>250.54232200000001</c:v>
                </c:pt>
                <c:pt idx="12">
                  <c:v>284.35956900000002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Dat_01!$B$143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349.62675200000001</c:v>
                </c:pt>
                <c:pt idx="1">
                  <c:v>283.485344</c:v>
                </c:pt>
                <c:pt idx="2">
                  <c:v>307.37834299999997</c:v>
                </c:pt>
                <c:pt idx="3">
                  <c:v>316.11086599999999</c:v>
                </c:pt>
                <c:pt idx="4">
                  <c:v>261.3288</c:v>
                </c:pt>
                <c:pt idx="5">
                  <c:v>271.16905600000001</c:v>
                </c:pt>
                <c:pt idx="6">
                  <c:v>265.51519999999999</c:v>
                </c:pt>
                <c:pt idx="7">
                  <c:v>260.370474</c:v>
                </c:pt>
                <c:pt idx="8">
                  <c:v>296.23593199999999</c:v>
                </c:pt>
                <c:pt idx="9">
                  <c:v>354.842107</c:v>
                </c:pt>
                <c:pt idx="10">
                  <c:v>391.60655400000002</c:v>
                </c:pt>
                <c:pt idx="11">
                  <c:v>377.87321400000002</c:v>
                </c:pt>
                <c:pt idx="12">
                  <c:v>342.56568199999998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Dat_01!$B$144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Dat_01!$C$144:$O$144</c:f>
              <c:numCache>
                <c:formatCode>#,##0.0</c:formatCode>
                <c:ptCount val="13"/>
                <c:pt idx="0">
                  <c:v>0.73928799999999995</c:v>
                </c:pt>
                <c:pt idx="1">
                  <c:v>1.4498660000000001</c:v>
                </c:pt>
                <c:pt idx="2">
                  <c:v>1.626099</c:v>
                </c:pt>
                <c:pt idx="3">
                  <c:v>1.3224050000000001</c:v>
                </c:pt>
                <c:pt idx="4">
                  <c:v>2.25665</c:v>
                </c:pt>
                <c:pt idx="5">
                  <c:v>2.6416550000000001</c:v>
                </c:pt>
                <c:pt idx="6">
                  <c:v>3.5113099999999999</c:v>
                </c:pt>
                <c:pt idx="7">
                  <c:v>3.975784</c:v>
                </c:pt>
                <c:pt idx="8">
                  <c:v>2.271474</c:v>
                </c:pt>
                <c:pt idx="9">
                  <c:v>1.869634</c:v>
                </c:pt>
                <c:pt idx="10">
                  <c:v>0.32408100000000001</c:v>
                </c:pt>
                <c:pt idx="11">
                  <c:v>1.363745</c:v>
                </c:pt>
                <c:pt idx="12">
                  <c:v>1.249555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Dat_01!$C$145:$O$145</c:f>
              <c:numCache>
                <c:formatCode>#,##0.0</c:formatCode>
                <c:ptCount val="13"/>
                <c:pt idx="0">
                  <c:v>53.153264999999998</c:v>
                </c:pt>
                <c:pt idx="1">
                  <c:v>108.660585</c:v>
                </c:pt>
                <c:pt idx="2">
                  <c:v>89.216486000000003</c:v>
                </c:pt>
                <c:pt idx="3">
                  <c:v>94.672573</c:v>
                </c:pt>
                <c:pt idx="4">
                  <c:v>147.02184</c:v>
                </c:pt>
                <c:pt idx="5">
                  <c:v>129.86778200000001</c:v>
                </c:pt>
                <c:pt idx="6">
                  <c:v>169.43657200000001</c:v>
                </c:pt>
                <c:pt idx="7">
                  <c:v>210.63246799999999</c:v>
                </c:pt>
                <c:pt idx="8">
                  <c:v>148.53897900000001</c:v>
                </c:pt>
                <c:pt idx="9">
                  <c:v>116.739524</c:v>
                </c:pt>
                <c:pt idx="10">
                  <c:v>42.197834</c:v>
                </c:pt>
                <c:pt idx="11">
                  <c:v>98.604337999999998</c:v>
                </c:pt>
                <c:pt idx="12">
                  <c:v>94.728306000000003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Dat_01!$C$146:$O$146</c:f>
              <c:numCache>
                <c:formatCode>#,##0.0</c:formatCode>
                <c:ptCount val="13"/>
                <c:pt idx="0">
                  <c:v>24.766017999999999</c:v>
                </c:pt>
                <c:pt idx="1">
                  <c:v>26.429468</c:v>
                </c:pt>
                <c:pt idx="2">
                  <c:v>32.017468999999998</c:v>
                </c:pt>
                <c:pt idx="3">
                  <c:v>36.076476</c:v>
                </c:pt>
                <c:pt idx="4">
                  <c:v>35.820442999999997</c:v>
                </c:pt>
                <c:pt idx="5">
                  <c:v>36.284447</c:v>
                </c:pt>
                <c:pt idx="6">
                  <c:v>42.800131</c:v>
                </c:pt>
                <c:pt idx="7">
                  <c:v>40.863112000000001</c:v>
                </c:pt>
                <c:pt idx="8">
                  <c:v>37.483722</c:v>
                </c:pt>
                <c:pt idx="9">
                  <c:v>36.283222000000002</c:v>
                </c:pt>
                <c:pt idx="10">
                  <c:v>28.453948</c:v>
                </c:pt>
                <c:pt idx="11">
                  <c:v>27.273921999999999</c:v>
                </c:pt>
                <c:pt idx="12">
                  <c:v>32.038106999999997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Dat_01!$C$138:$O$138</c:f>
              <c:strCache>
                <c:ptCount val="13"/>
                <c:pt idx="0">
                  <c:v>ene.-24</c:v>
                </c:pt>
                <c:pt idx="1">
                  <c:v>feb.-24</c:v>
                </c:pt>
                <c:pt idx="2">
                  <c:v>mar.-24</c:v>
                </c:pt>
                <c:pt idx="3">
                  <c:v>abr.-24</c:v>
                </c:pt>
                <c:pt idx="4">
                  <c:v>may.-24</c:v>
                </c:pt>
                <c:pt idx="5">
                  <c:v>jun.-24</c:v>
                </c:pt>
                <c:pt idx="6">
                  <c:v>jul.-24</c:v>
                </c:pt>
                <c:pt idx="7">
                  <c:v>ago.-24</c:v>
                </c:pt>
                <c:pt idx="8">
                  <c:v>sep.-24</c:v>
                </c:pt>
                <c:pt idx="9">
                  <c:v>oct.-24</c:v>
                </c:pt>
                <c:pt idx="10">
                  <c:v>nov.-24</c:v>
                </c:pt>
                <c:pt idx="11">
                  <c:v>dic.-24</c:v>
                </c:pt>
                <c:pt idx="12">
                  <c:v>ene.-25</c:v>
                </c:pt>
              </c:strCache>
            </c:strRef>
          </c:cat>
          <c:val>
            <c:numRef>
              <c:f>Dat_01!$C$147:$O$147</c:f>
              <c:numCache>
                <c:formatCode>#,##0.0</c:formatCode>
                <c:ptCount val="13"/>
                <c:pt idx="0">
                  <c:v>0.50013399999999997</c:v>
                </c:pt>
                <c:pt idx="1">
                  <c:v>0.49944300000000003</c:v>
                </c:pt>
                <c:pt idx="2">
                  <c:v>0.57839200000000002</c:v>
                </c:pt>
                <c:pt idx="3">
                  <c:v>0.26424700000000001</c:v>
                </c:pt>
                <c:pt idx="4">
                  <c:v>0.430983</c:v>
                </c:pt>
                <c:pt idx="5">
                  <c:v>0.49796200000000002</c:v>
                </c:pt>
                <c:pt idx="6">
                  <c:v>0.62341999999999997</c:v>
                </c:pt>
                <c:pt idx="7">
                  <c:v>1.3289139999999999</c:v>
                </c:pt>
                <c:pt idx="8">
                  <c:v>1.1101749999999999</c:v>
                </c:pt>
                <c:pt idx="9">
                  <c:v>1.1028469999999999</c:v>
                </c:pt>
                <c:pt idx="10">
                  <c:v>1.1775519999999999</c:v>
                </c:pt>
                <c:pt idx="11">
                  <c:v>1.130485</c:v>
                </c:pt>
                <c:pt idx="12">
                  <c:v>1.127931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87624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146049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1" customWidth="1"/>
    <col min="2" max="2" width="2.5703125" style="81" customWidth="1"/>
    <col min="3" max="3" width="16.42578125" style="81" customWidth="1"/>
    <col min="4" max="4" width="4.5703125" style="81" customWidth="1"/>
    <col min="5" max="5" width="95.5703125" style="81" customWidth="1"/>
    <col min="6" max="16384" width="11.42578125" style="81"/>
  </cols>
  <sheetData>
    <row r="1" spans="2:15" ht="0.75" customHeight="1"/>
    <row r="2" spans="2:15" ht="21" customHeight="1">
      <c r="B2" s="81" t="s">
        <v>42</v>
      </c>
      <c r="C2" s="82"/>
      <c r="D2" s="82"/>
      <c r="E2" s="27" t="s">
        <v>19</v>
      </c>
    </row>
    <row r="3" spans="2:15" ht="15" customHeight="1">
      <c r="C3" s="82"/>
      <c r="D3" s="82"/>
      <c r="E3" s="43" t="str">
        <f>Dat_01!A2</f>
        <v>Enero 2025</v>
      </c>
    </row>
    <row r="4" spans="2:15" s="84" customFormat="1" ht="20.25" customHeight="1">
      <c r="B4" s="83"/>
      <c r="C4" s="25" t="s">
        <v>39</v>
      </c>
    </row>
    <row r="5" spans="2:15" s="84" customFormat="1" ht="8.25" customHeight="1">
      <c r="B5" s="83"/>
      <c r="C5" s="85"/>
    </row>
    <row r="6" spans="2:15" s="84" customFormat="1" ht="3" customHeight="1">
      <c r="B6" s="83"/>
      <c r="C6" s="85"/>
    </row>
    <row r="7" spans="2:15" s="84" customFormat="1" ht="7.5" customHeight="1">
      <c r="B7" s="83"/>
      <c r="C7" s="86"/>
      <c r="D7" s="87"/>
      <c r="E7" s="87"/>
    </row>
    <row r="8" spans="2:15" ht="12.6" customHeight="1">
      <c r="D8" s="88" t="s">
        <v>43</v>
      </c>
      <c r="E8" s="89" t="str">
        <f>'SN1'!C7</f>
        <v>Componentes de la variación de la demanda Islas Baleares</v>
      </c>
    </row>
    <row r="9" spans="2:15" s="84" customFormat="1" ht="12.6" customHeight="1">
      <c r="B9" s="83"/>
      <c r="C9" s="90"/>
      <c r="D9" s="88" t="s">
        <v>43</v>
      </c>
      <c r="E9" s="89" t="str">
        <f>'SN2'!C7</f>
        <v>Componentes de la variación de la demanda Islas Canarias</v>
      </c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2:15" s="84" customFormat="1" ht="12.6" customHeight="1">
      <c r="B10" s="83"/>
      <c r="C10" s="90"/>
      <c r="D10" s="88" t="s">
        <v>43</v>
      </c>
      <c r="E10" s="89" t="s">
        <v>45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2:15" ht="12.6" customHeight="1">
      <c r="D11" s="88" t="s">
        <v>43</v>
      </c>
      <c r="E11" s="89" t="str">
        <f>'SN4'!C7</f>
        <v>Estructura de potencia instalada de generación Islas Baleares</v>
      </c>
    </row>
    <row r="12" spans="2:15" ht="12.6" customHeight="1">
      <c r="D12" s="88" t="s">
        <v>43</v>
      </c>
      <c r="E12" s="89" t="str">
        <f>'SN4'!C24</f>
        <v>Estructura de generación mensual Islas Baleares</v>
      </c>
    </row>
    <row r="13" spans="2:15" ht="12.6" customHeight="1">
      <c r="D13" s="88" t="s">
        <v>43</v>
      </c>
      <c r="E13" s="89" t="str">
        <f>'SN5'!C7</f>
        <v xml:space="preserve">Evolución de la estructura de generación de las Islas Baleares
</v>
      </c>
    </row>
    <row r="14" spans="2:15" ht="12.6" customHeight="1">
      <c r="D14" s="88" t="s">
        <v>43</v>
      </c>
      <c r="E14" s="89" t="str">
        <f>'SN6'!C7</f>
        <v>Estructura de potencia instalada de generación Islas Canarias</v>
      </c>
    </row>
    <row r="15" spans="2:15" ht="12.6" customHeight="1">
      <c r="D15" s="88" t="s">
        <v>43</v>
      </c>
      <c r="E15" s="89" t="str">
        <f>'SN6'!C24</f>
        <v>Estructura de generación mensual Islas Canarias</v>
      </c>
    </row>
    <row r="16" spans="2:15" ht="12.75" customHeight="1">
      <c r="D16" s="88" t="s">
        <v>43</v>
      </c>
      <c r="E16" s="89" t="str">
        <f>'SN7'!C7</f>
        <v xml:space="preserve">Evolución de la estructura de generación de las Islas Canarias
</v>
      </c>
    </row>
    <row r="17" spans="2:5" s="84" customFormat="1" ht="7.5" customHeight="1">
      <c r="B17" s="83"/>
      <c r="C17" s="86"/>
      <c r="D17" s="87"/>
      <c r="E17" s="87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6" t="s">
        <v>117</v>
      </c>
    </row>
    <row r="2" spans="1:2">
      <c r="A2" t="s">
        <v>110</v>
      </c>
    </row>
    <row r="3" spans="1:2">
      <c r="A3" t="s">
        <v>113</v>
      </c>
    </row>
    <row r="4" spans="1:2">
      <c r="A4" t="s">
        <v>115</v>
      </c>
    </row>
    <row r="5" spans="1:2">
      <c r="A5" t="s">
        <v>116</v>
      </c>
    </row>
    <row r="6" spans="1:2">
      <c r="A6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4" customWidth="1"/>
    <col min="2" max="2" width="2.5703125" style="54" customWidth="1"/>
    <col min="3" max="3" width="23.5703125" style="54" customWidth="1"/>
    <col min="4" max="4" width="1.42578125" style="54" customWidth="1"/>
    <col min="5" max="5" width="16.42578125" style="54" bestFit="1" customWidth="1"/>
    <col min="6" max="16384" width="11.42578125" style="54"/>
  </cols>
  <sheetData>
    <row r="1" spans="3:12" ht="0.6" customHeight="1"/>
    <row r="2" spans="3:12" ht="21" customHeight="1">
      <c r="K2" s="27" t="s">
        <v>19</v>
      </c>
      <c r="L2" s="46"/>
    </row>
    <row r="3" spans="3:12" ht="15" customHeight="1">
      <c r="K3" s="43" t="str">
        <f>Indice!E3</f>
        <v>Enero 2025</v>
      </c>
      <c r="L3" s="65"/>
    </row>
    <row r="4" spans="3:12" ht="20.100000000000001" customHeight="1">
      <c r="C4" s="25" t="s">
        <v>39</v>
      </c>
    </row>
    <row r="5" spans="3:12" ht="12.6" customHeight="1"/>
    <row r="7" spans="3:12" ht="12.75" customHeight="1">
      <c r="C7" s="191" t="s">
        <v>40</v>
      </c>
      <c r="E7" s="66"/>
      <c r="F7" s="192" t="str">
        <f>K3</f>
        <v>Enero 2025</v>
      </c>
      <c r="G7" s="193"/>
      <c r="H7" s="193" t="s">
        <v>30</v>
      </c>
      <c r="I7" s="193"/>
      <c r="J7" s="193" t="s">
        <v>31</v>
      </c>
      <c r="K7" s="193"/>
    </row>
    <row r="8" spans="3:12">
      <c r="C8" s="191"/>
      <c r="E8" s="67"/>
      <c r="F8" s="68" t="s">
        <v>13</v>
      </c>
      <c r="G8" s="94" t="str">
        <f>CONCATENATE("% ",RIGHT(F7,2),"/",RIGHT(F7,2)-1)</f>
        <v>% 25/24</v>
      </c>
      <c r="H8" s="68" t="s">
        <v>13</v>
      </c>
      <c r="I8" s="69" t="str">
        <f>G8</f>
        <v>% 25/24</v>
      </c>
      <c r="J8" s="68" t="s">
        <v>13</v>
      </c>
      <c r="K8" s="69" t="str">
        <f>G8</f>
        <v>% 25/24</v>
      </c>
    </row>
    <row r="9" spans="3:12">
      <c r="C9" s="70"/>
      <c r="E9" s="71" t="s">
        <v>32</v>
      </c>
      <c r="F9" s="72">
        <f>Dat_01!R26/1000</f>
        <v>459.14765999999997</v>
      </c>
      <c r="G9" s="140">
        <f>Dat_01!T26*100</f>
        <v>2.1883530900000001</v>
      </c>
      <c r="H9" s="72">
        <f>Dat_01!U26/1000</f>
        <v>459.14765999999997</v>
      </c>
      <c r="I9" s="140">
        <f>Dat_01!W26*100</f>
        <v>2.1883530900000001</v>
      </c>
      <c r="J9" s="72">
        <f>Dat_01!X26/1000</f>
        <v>6072.7905110000002</v>
      </c>
      <c r="K9" s="140">
        <f>Dat_01!Y26*100</f>
        <v>0.50252635999999995</v>
      </c>
    </row>
    <row r="10" spans="3:12">
      <c r="E10" s="13"/>
      <c r="F10" s="73"/>
      <c r="G10" s="73"/>
      <c r="H10" s="73"/>
      <c r="I10" s="73"/>
      <c r="J10" s="73"/>
      <c r="K10" s="73"/>
    </row>
    <row r="11" spans="3:12">
      <c r="E11" s="13" t="s">
        <v>33</v>
      </c>
      <c r="F11" s="73"/>
      <c r="G11" s="73"/>
      <c r="H11" s="73"/>
      <c r="I11" s="73"/>
      <c r="J11" s="73"/>
      <c r="K11" s="73"/>
    </row>
    <row r="12" spans="3:12">
      <c r="E12" s="74" t="s">
        <v>34</v>
      </c>
      <c r="F12" s="73"/>
      <c r="G12" s="91">
        <f>Dat_01!D156*100</f>
        <v>0.19800000000000001</v>
      </c>
      <c r="H12" s="91"/>
      <c r="I12" s="91">
        <f>Dat_01!H156*100</f>
        <v>0.19800000000000001</v>
      </c>
      <c r="J12" s="91"/>
      <c r="K12" s="91">
        <f>Dat_01!L156*100</f>
        <v>-1.8000000000000002E-2</v>
      </c>
    </row>
    <row r="13" spans="3:12">
      <c r="E13" s="74" t="s">
        <v>35</v>
      </c>
      <c r="F13" s="73"/>
      <c r="G13" s="91">
        <f>Dat_01!E156*100</f>
        <v>2.92</v>
      </c>
      <c r="H13" s="91"/>
      <c r="I13" s="91">
        <f>Dat_01!I156*100</f>
        <v>2.92</v>
      </c>
      <c r="J13" s="91"/>
      <c r="K13" s="91">
        <f>Dat_01!M156*100</f>
        <v>-0.58099999999999996</v>
      </c>
    </row>
    <row r="14" spans="3:12">
      <c r="E14" s="75" t="s">
        <v>36</v>
      </c>
      <c r="F14" s="76"/>
      <c r="G14" s="92">
        <f>Dat_01!F156*100</f>
        <v>-0.92999999999999994</v>
      </c>
      <c r="H14" s="92"/>
      <c r="I14" s="92">
        <f>Dat_01!J156*100</f>
        <v>-0.92999999999999994</v>
      </c>
      <c r="J14" s="92"/>
      <c r="K14" s="92">
        <f>Dat_01!N156*100</f>
        <v>1.1020000000000001</v>
      </c>
    </row>
    <row r="15" spans="3:12">
      <c r="E15" s="194" t="s">
        <v>37</v>
      </c>
      <c r="F15" s="194"/>
      <c r="G15" s="194"/>
      <c r="H15" s="194"/>
      <c r="I15" s="194"/>
      <c r="J15" s="194"/>
      <c r="K15" s="194"/>
    </row>
    <row r="16" spans="3:12" ht="21.75" customHeight="1">
      <c r="E16" s="190" t="s">
        <v>38</v>
      </c>
      <c r="F16" s="190"/>
      <c r="G16" s="190"/>
      <c r="H16" s="190"/>
      <c r="I16" s="190"/>
      <c r="J16" s="190"/>
      <c r="K16" s="190"/>
    </row>
    <row r="20" spans="7:11">
      <c r="G20" s="153"/>
      <c r="H20" s="153"/>
      <c r="I20" s="153"/>
      <c r="J20" s="153"/>
      <c r="K20" s="153"/>
    </row>
    <row r="21" spans="7:11">
      <c r="G21" s="153"/>
      <c r="H21" s="153"/>
      <c r="I21" s="153"/>
      <c r="J21" s="153"/>
      <c r="K21" s="153"/>
    </row>
    <row r="22" spans="7:11">
      <c r="G22" s="153"/>
      <c r="H22" s="153"/>
      <c r="I22" s="153"/>
      <c r="J22" s="153"/>
      <c r="K22" s="153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28515625" style="54" customWidth="1"/>
    <col min="2" max="2" width="2.5703125" style="54" customWidth="1"/>
    <col min="3" max="3" width="23.5703125" style="54" customWidth="1"/>
    <col min="4" max="4" width="1.42578125" style="54" customWidth="1"/>
    <col min="5" max="5" width="16.42578125" style="54" bestFit="1" customWidth="1"/>
    <col min="6" max="16384" width="11.42578125" style="54"/>
  </cols>
  <sheetData>
    <row r="1" spans="3:12" ht="0.6" customHeight="1"/>
    <row r="2" spans="3:12" ht="21" customHeight="1">
      <c r="K2" s="27" t="s">
        <v>19</v>
      </c>
      <c r="L2" s="46"/>
    </row>
    <row r="3" spans="3:12" ht="15" customHeight="1">
      <c r="K3" s="43" t="str">
        <f>Indice!E3</f>
        <v>Enero 2025</v>
      </c>
      <c r="L3" s="65"/>
    </row>
    <row r="4" spans="3:12" ht="20.100000000000001" customHeight="1">
      <c r="C4" s="25" t="s">
        <v>39</v>
      </c>
    </row>
    <row r="5" spans="3:12" ht="12.6" customHeight="1"/>
    <row r="7" spans="3:12" ht="12.75" customHeight="1">
      <c r="C7" s="191" t="s">
        <v>41</v>
      </c>
      <c r="E7" s="66"/>
      <c r="F7" s="192" t="str">
        <f>K3</f>
        <v>Enero 2025</v>
      </c>
      <c r="G7" s="193"/>
      <c r="H7" s="193" t="s">
        <v>30</v>
      </c>
      <c r="I7" s="193"/>
      <c r="J7" s="193" t="s">
        <v>31</v>
      </c>
      <c r="K7" s="193"/>
    </row>
    <row r="8" spans="3:12">
      <c r="C8" s="191"/>
      <c r="E8" s="67"/>
      <c r="F8" s="68" t="s">
        <v>13</v>
      </c>
      <c r="G8" s="94" t="str">
        <f>CONCATENATE("% ",RIGHT(F7,2),"/",RIGHT(F7,2)-1)</f>
        <v>% 25/24</v>
      </c>
      <c r="H8" s="68" t="s">
        <v>13</v>
      </c>
      <c r="I8" s="95" t="str">
        <f>G8</f>
        <v>% 25/24</v>
      </c>
      <c r="J8" s="68" t="s">
        <v>13</v>
      </c>
      <c r="K8" s="95" t="str">
        <f>G8</f>
        <v>% 25/24</v>
      </c>
    </row>
    <row r="9" spans="3:12">
      <c r="C9" s="70"/>
      <c r="E9" s="71" t="s">
        <v>32</v>
      </c>
      <c r="F9" s="72">
        <f>Dat_01!Z26/1000</f>
        <v>756.35439199999996</v>
      </c>
      <c r="G9" s="140">
        <f>Dat_01!AB26*100</f>
        <v>0.98139582000000003</v>
      </c>
      <c r="H9" s="72">
        <f>Dat_01!AC26/1000</f>
        <v>756.35439199999996</v>
      </c>
      <c r="I9" s="140">
        <f>Dat_01!AE26*100</f>
        <v>0.98139582000000003</v>
      </c>
      <c r="J9" s="72">
        <f>Dat_01!AF26/1000</f>
        <v>8903.258788000001</v>
      </c>
      <c r="K9" s="140">
        <f>Dat_01!AG26*100</f>
        <v>0.33361574999999999</v>
      </c>
    </row>
    <row r="10" spans="3:12">
      <c r="E10" s="13"/>
      <c r="F10" s="73"/>
      <c r="G10" s="73"/>
      <c r="H10" s="73"/>
      <c r="I10" s="73"/>
      <c r="J10" s="73"/>
      <c r="K10" s="73"/>
    </row>
    <row r="11" spans="3:12">
      <c r="E11" s="13" t="s">
        <v>33</v>
      </c>
      <c r="F11" s="73"/>
      <c r="G11" s="73"/>
      <c r="H11" s="73"/>
      <c r="I11" s="73"/>
      <c r="J11" s="73"/>
      <c r="K11" s="73"/>
    </row>
    <row r="12" spans="3:12">
      <c r="E12" s="74" t="s">
        <v>34</v>
      </c>
      <c r="F12" s="73"/>
      <c r="G12" s="91">
        <f>Dat_01!D162*100</f>
        <v>-0.82100000000000006</v>
      </c>
      <c r="H12" s="91"/>
      <c r="I12" s="91">
        <f>Dat_01!H162*100</f>
        <v>-0.82100000000000006</v>
      </c>
      <c r="J12" s="91"/>
      <c r="K12" s="91">
        <f>Dat_01!L162*100</f>
        <v>-1.2E-2</v>
      </c>
    </row>
    <row r="13" spans="3:12">
      <c r="E13" s="74" t="s">
        <v>35</v>
      </c>
      <c r="F13" s="73"/>
      <c r="G13" s="91">
        <f>Dat_01!E162*100</f>
        <v>4.5999999999999999E-2</v>
      </c>
      <c r="H13" s="91"/>
      <c r="I13" s="91">
        <f>Dat_01!I162*100</f>
        <v>4.5999999999999999E-2</v>
      </c>
      <c r="J13" s="91"/>
      <c r="K13" s="91">
        <f>Dat_01!M162*100</f>
        <v>-0.376</v>
      </c>
    </row>
    <row r="14" spans="3:12">
      <c r="E14" s="75" t="s">
        <v>36</v>
      </c>
      <c r="F14" s="76"/>
      <c r="G14" s="92">
        <f>Dat_01!F162*100</f>
        <v>1.756</v>
      </c>
      <c r="H14" s="92"/>
      <c r="I14" s="92">
        <f>Dat_01!J162*100</f>
        <v>1.756</v>
      </c>
      <c r="J14" s="92"/>
      <c r="K14" s="92">
        <f>Dat_01!N162*100</f>
        <v>0.72199999999999998</v>
      </c>
    </row>
    <row r="15" spans="3:12">
      <c r="E15" s="194" t="s">
        <v>37</v>
      </c>
      <c r="F15" s="194"/>
      <c r="G15" s="194"/>
      <c r="H15" s="194"/>
      <c r="I15" s="194"/>
      <c r="J15" s="194"/>
      <c r="K15" s="194"/>
    </row>
    <row r="16" spans="3:12" ht="21.75" customHeight="1">
      <c r="E16" s="190" t="s">
        <v>38</v>
      </c>
      <c r="F16" s="190"/>
      <c r="G16" s="190"/>
      <c r="H16" s="190"/>
      <c r="I16" s="190"/>
      <c r="J16" s="190"/>
      <c r="K16" s="190"/>
    </row>
    <row r="19" spans="7:11">
      <c r="G19" s="153"/>
      <c r="H19" s="153"/>
      <c r="I19" s="153"/>
      <c r="J19" s="153"/>
      <c r="K19" s="153"/>
    </row>
    <row r="20" spans="7:11">
      <c r="G20" s="153"/>
      <c r="H20" s="153"/>
      <c r="I20" s="153"/>
      <c r="J20" s="153"/>
      <c r="K20" s="153"/>
    </row>
    <row r="21" spans="7:11">
      <c r="G21" s="153"/>
      <c r="H21" s="153"/>
      <c r="I21" s="153"/>
      <c r="J21" s="153"/>
      <c r="K21" s="153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60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7" t="s">
        <v>19</v>
      </c>
    </row>
    <row r="3" spans="3:23" ht="15" customHeight="1">
      <c r="M3" s="26" t="str">
        <f>Indice!E3</f>
        <v>Enero 2025</v>
      </c>
    </row>
    <row r="4" spans="3:23" ht="20.25" customHeight="1">
      <c r="C4" s="25" t="s">
        <v>39</v>
      </c>
    </row>
    <row r="5" spans="3:23" ht="12.75" customHeight="1"/>
    <row r="6" spans="3:23" ht="13.5" customHeight="1"/>
    <row r="7" spans="3:23" s="21" customFormat="1" ht="12.75" customHeight="1">
      <c r="C7" s="195" t="s">
        <v>18</v>
      </c>
      <c r="E7" s="24"/>
      <c r="F7" s="196" t="s">
        <v>17</v>
      </c>
      <c r="G7" s="197"/>
      <c r="H7" s="196" t="s">
        <v>16</v>
      </c>
      <c r="I7" s="197"/>
      <c r="J7" s="196" t="s">
        <v>15</v>
      </c>
      <c r="K7" s="197"/>
      <c r="L7" s="196" t="s">
        <v>14</v>
      </c>
      <c r="M7" s="197"/>
    </row>
    <row r="8" spans="3:23" s="21" customFormat="1" ht="12.75" customHeight="1">
      <c r="C8" s="195"/>
      <c r="E8" s="23"/>
      <c r="F8" s="22" t="s">
        <v>13</v>
      </c>
      <c r="G8" s="93" t="str">
        <f>CONCATENATE("% ",RIGHT(M3,2),"/",RIGHT(M3,2)-1)</f>
        <v>% 25/24</v>
      </c>
      <c r="H8" s="22" t="s">
        <v>13</v>
      </c>
      <c r="I8" s="93" t="str">
        <f>G8</f>
        <v>% 25/24</v>
      </c>
      <c r="J8" s="22" t="s">
        <v>13</v>
      </c>
      <c r="K8" s="93" t="str">
        <f>I8</f>
        <v>% 25/24</v>
      </c>
      <c r="L8" s="22" t="s">
        <v>13</v>
      </c>
      <c r="M8" s="93" t="str">
        <f>K8</f>
        <v>% 25/24</v>
      </c>
    </row>
    <row r="9" spans="3:23" s="20" customFormat="1" ht="12.75" customHeight="1">
      <c r="C9" s="17"/>
      <c r="E9" s="15" t="s">
        <v>12</v>
      </c>
      <c r="F9" s="132" t="s">
        <v>3</v>
      </c>
      <c r="G9" s="12" t="s">
        <v>3</v>
      </c>
      <c r="H9" s="132">
        <f>Dat_01!Z8/1000</f>
        <v>0.285242</v>
      </c>
      <c r="I9" s="12">
        <f>IF(Dat_01!AB8*100=-100,"-",Dat_01!AB8*100)</f>
        <v>-3.7131804400000004</v>
      </c>
      <c r="J9" s="132" t="s">
        <v>3</v>
      </c>
      <c r="K9" s="12" t="s">
        <v>3</v>
      </c>
      <c r="L9" s="132" t="s">
        <v>3</v>
      </c>
      <c r="M9" s="12" t="s">
        <v>3</v>
      </c>
      <c r="N9" s="7"/>
      <c r="O9" s="7"/>
    </row>
    <row r="10" spans="3:23" ht="12.75" customHeight="1">
      <c r="E10" s="15" t="s">
        <v>6</v>
      </c>
      <c r="F10" s="132" t="s">
        <v>3</v>
      </c>
      <c r="G10" s="12" t="s">
        <v>3</v>
      </c>
      <c r="H10" s="132">
        <f>Dat_01!Z15/1000</f>
        <v>1.249555</v>
      </c>
      <c r="I10" s="12">
        <f>Dat_01!AB15*100</f>
        <v>69.021409789999993</v>
      </c>
      <c r="J10" s="132" t="s">
        <v>3</v>
      </c>
      <c r="K10" s="12" t="s">
        <v>3</v>
      </c>
      <c r="L10" s="132" t="s">
        <v>3</v>
      </c>
      <c r="M10" s="12" t="s">
        <v>3</v>
      </c>
      <c r="N10" s="7"/>
      <c r="O10" s="7"/>
    </row>
    <row r="11" spans="3:23" ht="12.75" customHeight="1">
      <c r="E11" s="15" t="s">
        <v>5</v>
      </c>
      <c r="F11" s="132">
        <f>Dat_01!R16/1000</f>
        <v>0</v>
      </c>
      <c r="G11" s="12" t="str">
        <f>IF(Dat_01!R16=0,"-",Dat_01!T16*100)</f>
        <v>-</v>
      </c>
      <c r="H11" s="132">
        <f>Dat_01!Z16/1000</f>
        <v>94.728306000000003</v>
      </c>
      <c r="I11" s="12">
        <f>Dat_01!AB16*100</f>
        <v>78.217285430000004</v>
      </c>
      <c r="J11" s="132" t="s">
        <v>3</v>
      </c>
      <c r="K11" s="12" t="s">
        <v>3</v>
      </c>
      <c r="L11" s="132" t="s">
        <v>3</v>
      </c>
      <c r="M11" s="12" t="s">
        <v>3</v>
      </c>
      <c r="N11" s="7"/>
      <c r="O11" s="7"/>
    </row>
    <row r="12" spans="3:23" ht="12.75" customHeight="1">
      <c r="C12" s="10"/>
      <c r="E12" s="15" t="s">
        <v>4</v>
      </c>
      <c r="F12" s="132">
        <f>Dat_01!R17/1000</f>
        <v>27.699960999999998</v>
      </c>
      <c r="G12" s="12">
        <f>Dat_01!T17*100</f>
        <v>14.435917100000001</v>
      </c>
      <c r="H12" s="132">
        <f>Dat_01!Z17/1000</f>
        <v>32.038106999999997</v>
      </c>
      <c r="I12" s="12">
        <f>Dat_01!AB17*100</f>
        <v>29.363174170000001</v>
      </c>
      <c r="J12" s="132">
        <f>Dat_01!B17</f>
        <v>0</v>
      </c>
      <c r="K12" s="12">
        <f>IF(Dat_01!D17=-100%,"-",Dat_01!D17*100)</f>
        <v>0</v>
      </c>
      <c r="L12" s="132">
        <f>Dat_01!J17/1000</f>
        <v>3.48E-3</v>
      </c>
      <c r="M12" s="12">
        <f>IF(Dat_01!L17*100=-100,"-",Dat_01!L17*100)</f>
        <v>-0.34364260999999996</v>
      </c>
      <c r="N12" s="7"/>
      <c r="O12" s="7"/>
      <c r="P12" s="14"/>
    </row>
    <row r="13" spans="3:23" ht="12.75" customHeight="1">
      <c r="C13" s="10"/>
      <c r="E13" s="13" t="s">
        <v>74</v>
      </c>
      <c r="F13" s="12">
        <f>Dat_01!R18/1000</f>
        <v>0.256185</v>
      </c>
      <c r="G13" s="12">
        <f>IF(Dat_01!T18=-100%,"-",Dat_01!T18*100)</f>
        <v>145.78816080000001</v>
      </c>
      <c r="H13" s="132">
        <f>Dat_01!Z18/1000</f>
        <v>1.127931</v>
      </c>
      <c r="I13" s="12">
        <f>IF(Dat_01!AB18*100=-100,"-",Dat_01!AB18*100)</f>
        <v>125.52575909999999</v>
      </c>
      <c r="J13" s="132" t="s">
        <v>3</v>
      </c>
      <c r="K13" s="12" t="s">
        <v>3</v>
      </c>
      <c r="L13" s="132" t="s">
        <v>3</v>
      </c>
      <c r="M13" s="12" t="s">
        <v>3</v>
      </c>
      <c r="N13" s="7"/>
      <c r="O13" s="7"/>
    </row>
    <row r="14" spans="3:23" ht="12.75" customHeight="1">
      <c r="C14" s="10"/>
      <c r="E14" s="13" t="s">
        <v>46</v>
      </c>
      <c r="F14" s="132">
        <f>Dat_01!R21/1000</f>
        <v>10.134332000000001</v>
      </c>
      <c r="G14" s="12">
        <f>Dat_01!T21*100</f>
        <v>-3.3447957000000001</v>
      </c>
      <c r="H14" s="132" t="s">
        <v>3</v>
      </c>
      <c r="I14" s="12" t="s">
        <v>3</v>
      </c>
      <c r="J14" s="132" t="s">
        <v>3</v>
      </c>
      <c r="K14" s="12" t="s">
        <v>3</v>
      </c>
      <c r="L14" s="132">
        <f>Dat_01!J21/1000</f>
        <v>0.59325499999999998</v>
      </c>
      <c r="M14" s="12">
        <f>Dat_01!L21*100</f>
        <v>-5.0962826699999999</v>
      </c>
      <c r="N14" s="7"/>
      <c r="O14" s="7"/>
    </row>
    <row r="15" spans="3:23" ht="12.75" customHeight="1">
      <c r="C15" s="10"/>
      <c r="E15" s="145" t="s">
        <v>72</v>
      </c>
      <c r="F15" s="148">
        <f>SUM(F9:F14)</f>
        <v>38.090477999999997</v>
      </c>
      <c r="G15" s="149">
        <f>((SUM(Dat_01!R8,Dat_01!R15:R18,Dat_01!R20)/SUM(Dat_01!S8,Dat_01!S15:S18,Dat_01!S20))-1)*100</f>
        <v>9.4713831485391253</v>
      </c>
      <c r="H15" s="148">
        <f>SUM(H9:H14)</f>
        <v>129.42914099999999</v>
      </c>
      <c r="I15" s="149">
        <f>((SUM(Dat_01!Z8,Dat_01!Z15:Z18,Dat_01!Z20)/SUM(Dat_01!AA8,Dat_01!AA15:AA18,Dat_01!AA20))-1)*100</f>
        <v>62.89626497391032</v>
      </c>
      <c r="J15" s="148">
        <f>SUM(J9:J14)</f>
        <v>0</v>
      </c>
      <c r="K15" s="149" t="str">
        <f>IF(((SUM(Dat_01!B8,Dat_01!B15:B18,Dat_01!B20)/SUM(Dat_01!C8,Dat_01!C5:IC18,Dat_01!C20))-1)*100=-100,"-",((SUM(Dat_01!B8,Dat_01!B15:B18,Dat_01!B20)/SUM(Dat_01!C8,Dat_01!C5:IC18,Dat_01!C20))-1)*100)</f>
        <v>-</v>
      </c>
      <c r="L15" s="148">
        <f>SUM(L9:L14)</f>
        <v>0.59673500000000002</v>
      </c>
      <c r="M15" s="149">
        <f>((SUM(Dat_01!J8,Dat_01!J15:J18,Dat_01!J20)/SUM(Dat_01!K8,Dat_01!K15:K18,Dat_01!K20))-1)*100</f>
        <v>-5.0698809823983009</v>
      </c>
      <c r="N15" s="7"/>
      <c r="O15" s="7"/>
    </row>
    <row r="16" spans="3:23" ht="12.75" customHeight="1">
      <c r="C16" s="17"/>
      <c r="E16" s="15" t="s">
        <v>11</v>
      </c>
      <c r="F16" s="132">
        <f>Dat_01!R9/1000</f>
        <v>4.6319679999999996</v>
      </c>
      <c r="G16" s="12" t="s">
        <v>3</v>
      </c>
      <c r="H16" s="132" t="s">
        <v>3</v>
      </c>
      <c r="I16" s="12" t="s">
        <v>3</v>
      </c>
      <c r="J16" s="132" t="s">
        <v>3</v>
      </c>
      <c r="K16" s="12" t="s">
        <v>3</v>
      </c>
      <c r="L16" s="132" t="s">
        <v>3</v>
      </c>
      <c r="M16" s="12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7"/>
      <c r="E17" s="19" t="s">
        <v>10</v>
      </c>
      <c r="F17" s="133">
        <f>SUM(Dat_01!R10,Dat_01!R14)/1000</f>
        <v>8.585488999999999</v>
      </c>
      <c r="G17" s="18">
        <f>((SUM(Dat_01!R10,Dat_01!R14)/SUM(Dat_01!S10,Dat_01!S14))-1)*100</f>
        <v>38.521631619274842</v>
      </c>
      <c r="H17" s="133">
        <f>SUM(Dat_01!Z10,Dat_01!Z14)/1000</f>
        <v>164.446281</v>
      </c>
      <c r="I17" s="18">
        <f>((SUM(Dat_01!Z10,Dat_01!Z14)/SUM(Dat_01!AA10,Dat_01!AA14))-1)*100</f>
        <v>-3.1996309388487298</v>
      </c>
      <c r="J17" s="133">
        <f>Dat_01!B10/1000</f>
        <v>17.089555000000001</v>
      </c>
      <c r="K17" s="18">
        <f>Dat_01!D10*100</f>
        <v>7.1775185000000006</v>
      </c>
      <c r="L17" s="133">
        <f>Dat_01!J10/1000</f>
        <v>17.414429999999999</v>
      </c>
      <c r="M17" s="18">
        <f>Dat_01!L10*100</f>
        <v>13.869244010000001</v>
      </c>
      <c r="N17" s="139"/>
      <c r="O17" s="138"/>
      <c r="Q17" s="6"/>
      <c r="R17" s="6"/>
      <c r="S17" s="6"/>
      <c r="T17" s="6"/>
      <c r="U17" s="6"/>
      <c r="V17" s="6"/>
      <c r="W17" s="6"/>
    </row>
    <row r="18" spans="3:23" ht="12.75" customHeight="1">
      <c r="C18" s="17"/>
      <c r="E18" s="19" t="s">
        <v>9</v>
      </c>
      <c r="F18" s="133">
        <f>Dat_01!R11/1000</f>
        <v>23.827804</v>
      </c>
      <c r="G18" s="18">
        <f>Dat_01!T11*100</f>
        <v>-6.5564843999999995</v>
      </c>
      <c r="H18" s="133">
        <f>Dat_01!Z11/1000</f>
        <v>37.045735999999998</v>
      </c>
      <c r="I18" s="18">
        <f>Dat_01!AB11*100</f>
        <v>30.989790039999999</v>
      </c>
      <c r="J18" s="133">
        <f>Dat_01!B11/1000</f>
        <v>3.4870000000000001E-3</v>
      </c>
      <c r="K18" s="18">
        <f>IF(Dat_01!D11=-100%,"-",Dat_01!D11*100)</f>
        <v>-4.70073791</v>
      </c>
      <c r="L18" s="133">
        <f>Dat_01!J11/1000</f>
        <v>1.403E-3</v>
      </c>
      <c r="M18" s="18">
        <f>IF(Dat_01!L11*100=-100,"-",Dat_01!L11*100)</f>
        <v>-42.687908499999999</v>
      </c>
      <c r="N18" s="139"/>
      <c r="O18" s="16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7"/>
      <c r="E19" s="19" t="s">
        <v>8</v>
      </c>
      <c r="F19" s="133" t="s">
        <v>3</v>
      </c>
      <c r="G19" s="18" t="s">
        <v>3</v>
      </c>
      <c r="H19" s="133">
        <f>Dat_01!Z12/1000</f>
        <v>82.867551999999989</v>
      </c>
      <c r="I19" s="18">
        <f>Dat_01!AB12*100</f>
        <v>-31.94118572</v>
      </c>
      <c r="J19" s="133" t="s">
        <v>3</v>
      </c>
      <c r="K19" s="133" t="s">
        <v>3</v>
      </c>
      <c r="L19" s="133" t="s">
        <v>3</v>
      </c>
      <c r="M19" s="133" t="s">
        <v>3</v>
      </c>
      <c r="N19" s="139"/>
      <c r="O19" s="16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7"/>
      <c r="E20" s="15" t="s">
        <v>7</v>
      </c>
      <c r="F20" s="132">
        <f>SUM(F17:F19)</f>
        <v>32.413292999999996</v>
      </c>
      <c r="G20" s="12">
        <f>((SUM(Dat_01!R10:R12,Dat_01!R14)/SUM(Dat_01!S10:S12,Dat_01!S14))-1)*100</f>
        <v>2.257787238843223</v>
      </c>
      <c r="H20" s="132">
        <f>SUM(H17:H19)</f>
        <v>284.35956899999996</v>
      </c>
      <c r="I20" s="12">
        <f>(H20/(H17/(I17/100+1)+H18/(I18/100+1)+H19/(I19/100+1))-1)*100</f>
        <v>-11.115969758803701</v>
      </c>
      <c r="J20" s="132">
        <f>SUM(J17:J19)</f>
        <v>17.093042000000001</v>
      </c>
      <c r="K20" s="12">
        <f>((SUM(Dat_01!B10:B12)/SUM(Dat_01!C10:C12))-1)*100</f>
        <v>7.1747933631421512</v>
      </c>
      <c r="L20" s="132">
        <f>SUM(L17:L19)</f>
        <v>17.415832999999999</v>
      </c>
      <c r="M20" s="12">
        <f>((SUM(Dat_01!J10:J12)/SUM(Dat_01!K10:K12))-1)*100</f>
        <v>13.860192386082314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7"/>
      <c r="E21" s="15" t="s">
        <v>75</v>
      </c>
      <c r="F21" s="132">
        <f>Dat_01!R13/1000</f>
        <v>284.762474</v>
      </c>
      <c r="G21" s="12">
        <f>Dat_01!T13*100</f>
        <v>15.917298599999999</v>
      </c>
      <c r="H21" s="132">
        <f>Dat_01!Z13/1000</f>
        <v>342.56568199999998</v>
      </c>
      <c r="I21" s="12">
        <f>Dat_01!AB13*100</f>
        <v>-2.0196023200000002</v>
      </c>
      <c r="J21" s="132" t="s">
        <v>3</v>
      </c>
      <c r="K21" s="12" t="s">
        <v>3</v>
      </c>
      <c r="L21" s="132" t="s">
        <v>3</v>
      </c>
      <c r="M21" s="12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3" t="s">
        <v>23</v>
      </c>
      <c r="F22" s="132">
        <f>Dat_01!R19/1000</f>
        <v>3.6863090000000001</v>
      </c>
      <c r="G22" s="12">
        <f>Dat_01!T19*100</f>
        <v>-6.3679922200000005</v>
      </c>
      <c r="H22" s="132">
        <f>Dat_01!Z19/1000</f>
        <v>0</v>
      </c>
      <c r="I22" s="12" t="s">
        <v>3</v>
      </c>
      <c r="J22" s="132" t="s">
        <v>3</v>
      </c>
      <c r="K22" s="12" t="s">
        <v>3</v>
      </c>
      <c r="L22" s="132" t="s">
        <v>3</v>
      </c>
      <c r="M22" s="12" t="s">
        <v>3</v>
      </c>
      <c r="N22" s="7"/>
      <c r="O22" s="7"/>
    </row>
    <row r="23" spans="3:23" ht="12.75" customHeight="1">
      <c r="C23" s="10"/>
      <c r="E23" s="13" t="s">
        <v>47</v>
      </c>
      <c r="F23" s="132">
        <f>Dat_01!R20/1000</f>
        <v>10.134332000000001</v>
      </c>
      <c r="G23" s="12">
        <f>Dat_01!T20*100</f>
        <v>-3.3447957000000001</v>
      </c>
      <c r="H23" s="132" t="s">
        <v>3</v>
      </c>
      <c r="I23" s="12" t="s">
        <v>3</v>
      </c>
      <c r="J23" s="132" t="s">
        <v>3</v>
      </c>
      <c r="K23" s="12" t="s">
        <v>3</v>
      </c>
      <c r="L23" s="132">
        <f>Dat_01!J20/1000</f>
        <v>0.59325499999999998</v>
      </c>
      <c r="M23" s="12">
        <f>Dat_01!L20*100</f>
        <v>-5.0962826699999999</v>
      </c>
      <c r="N23" s="7"/>
      <c r="O23" s="7"/>
    </row>
    <row r="24" spans="3:23" ht="12.75" customHeight="1">
      <c r="C24" s="10"/>
      <c r="E24" s="145" t="s">
        <v>73</v>
      </c>
      <c r="F24" s="134">
        <f>SUM(F16,F20:F23)</f>
        <v>335.628376</v>
      </c>
      <c r="G24" s="149">
        <f>((SUM(Dat_01!R9:R14,Dat_01!R19,Dat_01!R21)/SUM(Dat_01!S9:S14,Dat_01!S19,Dat_01!S21))-1)*100</f>
        <v>15.02800225515335</v>
      </c>
      <c r="H24" s="134">
        <f>SUM(H16,H20:H23)</f>
        <v>626.92525099999989</v>
      </c>
      <c r="I24" s="149">
        <f>((SUM(Dat_01!Z9:Z14,Dat_01!Z19,Dat_01!Z21)/SUM(Dat_01!AA9:AA14,Dat_01!AA19,Dat_01!AA21))-1)*100</f>
        <v>-6.3660043791224812</v>
      </c>
      <c r="J24" s="134">
        <f>SUM(J16,J20:J23)</f>
        <v>17.093042000000001</v>
      </c>
      <c r="K24" s="149">
        <f>((SUM(Dat_01!B9:B14,Dat_01!B19,Dat_01!B21)/SUM(Dat_01!C9:C14,Dat_01!C19,Dat_01!C21))-1)*100</f>
        <v>7.1747933631421512</v>
      </c>
      <c r="L24" s="134">
        <f>SUM(L16,L20:L23)</f>
        <v>18.009087999999998</v>
      </c>
      <c r="M24" s="149">
        <f>((SUM(Dat_01!J9:J14,Dat_01!J19,Dat_01!J21)/SUM(Dat_01!K9:K14,Dat_01!K19,Dat_01!K21))-1)*100</f>
        <v>13.115892975389132</v>
      </c>
      <c r="N24" s="7"/>
      <c r="O24" s="7"/>
    </row>
    <row r="25" spans="3:23" ht="12.75" customHeight="1">
      <c r="C25" s="10"/>
      <c r="E25" s="186" t="s">
        <v>111</v>
      </c>
      <c r="F25" s="132">
        <f>Dat_01!R23/1000</f>
        <v>5.3209999999999993E-3</v>
      </c>
      <c r="G25" s="12">
        <f>Dat_01!T23*100</f>
        <v>82.101300479999992</v>
      </c>
      <c r="H25" s="187" t="s">
        <v>3</v>
      </c>
      <c r="I25" s="187" t="s">
        <v>3</v>
      </c>
      <c r="J25" s="187" t="s">
        <v>3</v>
      </c>
      <c r="K25" s="187" t="s">
        <v>3</v>
      </c>
      <c r="L25" s="187" t="s">
        <v>3</v>
      </c>
      <c r="M25" s="187" t="s">
        <v>3</v>
      </c>
      <c r="N25" s="7"/>
      <c r="O25" s="7"/>
    </row>
    <row r="26" spans="3:23" ht="12.75" customHeight="1">
      <c r="C26" s="10"/>
      <c r="E26" s="186" t="s">
        <v>112</v>
      </c>
      <c r="F26" s="132">
        <f>Dat_01!R24/1000</f>
        <v>-2.0024E-2</v>
      </c>
      <c r="G26" s="12">
        <f>Dat_01!T24*100</f>
        <v>-12.052002809999999</v>
      </c>
      <c r="H26" s="132" t="s">
        <v>3</v>
      </c>
      <c r="I26" s="132" t="s">
        <v>3</v>
      </c>
      <c r="J26" s="132" t="s">
        <v>3</v>
      </c>
      <c r="K26" s="132" t="s">
        <v>3</v>
      </c>
      <c r="L26" s="132" t="s">
        <v>3</v>
      </c>
      <c r="M26" s="132" t="s">
        <v>3</v>
      </c>
      <c r="N26" s="7"/>
      <c r="O26" s="7"/>
    </row>
    <row r="27" spans="3:23" ht="12.75" customHeight="1">
      <c r="C27" s="10"/>
      <c r="E27" s="145" t="s">
        <v>119</v>
      </c>
      <c r="F27" s="134">
        <f>SUM(F25:F26)</f>
        <v>-1.4703000000000001E-2</v>
      </c>
      <c r="G27" s="149">
        <f>((SUM(Dat_01!R23:R24)/SUM(Dat_01!S23:S24))-1)*100</f>
        <v>-25.914541973193582</v>
      </c>
      <c r="H27" s="134" t="s">
        <v>3</v>
      </c>
      <c r="I27" s="134" t="s">
        <v>3</v>
      </c>
      <c r="J27" s="134" t="s">
        <v>3</v>
      </c>
      <c r="K27" s="134" t="s">
        <v>3</v>
      </c>
      <c r="L27" s="134" t="s">
        <v>3</v>
      </c>
      <c r="M27" s="134" t="s">
        <v>3</v>
      </c>
      <c r="N27" s="7"/>
      <c r="O27" s="7"/>
    </row>
    <row r="28" spans="3:23" ht="12.75" customHeight="1">
      <c r="C28" s="11"/>
      <c r="E28" s="183" t="s">
        <v>78</v>
      </c>
      <c r="F28" s="184">
        <f>Dat_01!R25/1000</f>
        <v>85.443509000000006</v>
      </c>
      <c r="G28" s="185">
        <f>Dat_01!T25*100</f>
        <v>-30.398078940000001</v>
      </c>
      <c r="H28" s="184" t="s">
        <v>3</v>
      </c>
      <c r="I28" s="184" t="s">
        <v>3</v>
      </c>
      <c r="J28" s="184" t="s">
        <v>3</v>
      </c>
      <c r="K28" s="184" t="s">
        <v>3</v>
      </c>
      <c r="L28" s="184" t="s">
        <v>3</v>
      </c>
      <c r="M28" s="184" t="s">
        <v>3</v>
      </c>
      <c r="N28" s="7"/>
      <c r="O28" s="7"/>
    </row>
    <row r="29" spans="3:23" ht="16.350000000000001" customHeight="1">
      <c r="C29" s="10"/>
      <c r="E29" s="9" t="s">
        <v>1</v>
      </c>
      <c r="F29" s="135">
        <f>Dat_01!R26/1000</f>
        <v>459.14765999999997</v>
      </c>
      <c r="G29" s="8">
        <f>Dat_01!T26*100</f>
        <v>2.1883530900000001</v>
      </c>
      <c r="H29" s="135">
        <f>Dat_01!Z26/1000</f>
        <v>756.35439199999996</v>
      </c>
      <c r="I29" s="8">
        <f>Dat_01!AB26*100</f>
        <v>0.98139582000000003</v>
      </c>
      <c r="J29" s="135">
        <f>Dat_01!B26/1000</f>
        <v>17.093042000000001</v>
      </c>
      <c r="K29" s="8">
        <f>Dat_01!D26*100</f>
        <v>7.1747933599999998</v>
      </c>
      <c r="L29" s="135">
        <f>Dat_01!J26/1000</f>
        <v>18.605823000000001</v>
      </c>
      <c r="M29" s="8">
        <f>Dat_01!L26*100</f>
        <v>12.42513832</v>
      </c>
      <c r="N29" s="7"/>
      <c r="O29" s="7"/>
    </row>
    <row r="30" spans="3:23" ht="16.350000000000001" customHeight="1">
      <c r="C30" s="10"/>
      <c r="E30" s="200" t="s">
        <v>48</v>
      </c>
      <c r="F30" s="200"/>
      <c r="G30" s="200"/>
      <c r="H30" s="200"/>
      <c r="I30" s="200"/>
      <c r="J30" s="200"/>
      <c r="K30" s="200"/>
      <c r="L30" s="146"/>
      <c r="M30" s="147"/>
      <c r="N30" s="7"/>
      <c r="O30" s="7"/>
    </row>
    <row r="31" spans="3:23" ht="12.75" customHeight="1">
      <c r="C31" s="3"/>
      <c r="D31" s="3"/>
      <c r="E31" s="199" t="s">
        <v>0</v>
      </c>
      <c r="F31" s="199"/>
      <c r="G31" s="199"/>
      <c r="H31" s="199"/>
      <c r="I31" s="199"/>
      <c r="J31" s="199"/>
      <c r="K31" s="199"/>
      <c r="L31" s="199"/>
      <c r="M31" s="199"/>
      <c r="O31" s="6"/>
    </row>
    <row r="32" spans="3:23" ht="12.75" customHeight="1">
      <c r="E32" s="198" t="s">
        <v>130</v>
      </c>
      <c r="F32" s="198"/>
      <c r="G32" s="198"/>
      <c r="H32" s="198"/>
      <c r="I32" s="198"/>
      <c r="J32" s="198"/>
      <c r="K32" s="198"/>
      <c r="L32" s="198"/>
      <c r="M32" s="198"/>
    </row>
    <row r="33" spans="3:13" ht="12.75" customHeight="1">
      <c r="C33" s="3"/>
      <c r="D33" s="3"/>
      <c r="E33" s="198" t="s">
        <v>76</v>
      </c>
      <c r="F33" s="198"/>
      <c r="G33" s="198"/>
      <c r="H33" s="198"/>
      <c r="I33" s="198"/>
      <c r="J33" s="198"/>
      <c r="K33" s="198"/>
      <c r="L33" s="198"/>
      <c r="M33" s="198"/>
    </row>
    <row r="34" spans="3:13" ht="12.75" customHeight="1">
      <c r="E34" s="198" t="s">
        <v>77</v>
      </c>
      <c r="F34" s="198"/>
      <c r="G34" s="198"/>
      <c r="H34" s="198"/>
      <c r="I34" s="198"/>
      <c r="J34" s="198"/>
      <c r="K34" s="198"/>
      <c r="L34" s="198"/>
      <c r="M34" s="198"/>
    </row>
    <row r="35" spans="3:13" ht="12.75" customHeight="1">
      <c r="E35" s="198"/>
      <c r="F35" s="198"/>
      <c r="G35" s="198"/>
      <c r="H35" s="198"/>
      <c r="I35" s="198"/>
      <c r="J35" s="198"/>
      <c r="K35" s="198"/>
      <c r="L35" s="198"/>
      <c r="M35" s="198"/>
    </row>
    <row r="36" spans="3:13" ht="12.75" customHeight="1">
      <c r="E36" s="5"/>
      <c r="F36" s="5"/>
      <c r="G36" s="5"/>
      <c r="H36" s="5"/>
      <c r="I36" s="5"/>
      <c r="J36" s="5"/>
      <c r="K36" s="5"/>
      <c r="L36" s="5"/>
      <c r="M36" s="5"/>
    </row>
    <row r="37" spans="3:13" ht="12.75" customHeight="1">
      <c r="E37" s="4"/>
      <c r="G37" s="3"/>
      <c r="I37" s="3"/>
      <c r="K37" s="3"/>
      <c r="L37" s="3"/>
      <c r="M37" s="3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E43" s="2"/>
      <c r="F43" s="2"/>
      <c r="G43" s="2"/>
      <c r="H43" s="2"/>
      <c r="I43" s="2"/>
      <c r="J43" s="2"/>
      <c r="K43" s="2"/>
    </row>
    <row r="44" spans="3:13"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  <c r="E58" s="2"/>
      <c r="F58" s="2"/>
      <c r="G58" s="2"/>
      <c r="H58" s="2"/>
      <c r="I58" s="2"/>
      <c r="J58" s="2"/>
      <c r="K58" s="2"/>
    </row>
    <row r="59" spans="3:11">
      <c r="C59" s="2"/>
      <c r="D59" s="2"/>
      <c r="E59" s="2"/>
      <c r="F59" s="2"/>
      <c r="G59" s="2"/>
      <c r="H59" s="2"/>
      <c r="I59" s="2"/>
      <c r="J59" s="2"/>
      <c r="K59" s="2"/>
    </row>
    <row r="60" spans="3:11">
      <c r="C60" s="2"/>
      <c r="D60" s="2"/>
    </row>
  </sheetData>
  <mergeCells count="11">
    <mergeCell ref="C7:C8"/>
    <mergeCell ref="F7:G7"/>
    <mergeCell ref="H7:I7"/>
    <mergeCell ref="J7:K7"/>
    <mergeCell ref="E35:M35"/>
    <mergeCell ref="L7:M7"/>
    <mergeCell ref="E31:M31"/>
    <mergeCell ref="E32:M32"/>
    <mergeCell ref="E33:M33"/>
    <mergeCell ref="E34:M34"/>
    <mergeCell ref="E30:K30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4 K24 I20 K15" formula="1"/>
    <ignoredError sqref="M20" formulaRange="1"/>
    <ignoredError sqref="K20" formula="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topLeftCell="A4" zoomScaleNormal="100" workbookViewId="0">
      <selection activeCell="G41" sqref="G41"/>
    </sheetView>
  </sheetViews>
  <sheetFormatPr baseColWidth="10" defaultRowHeight="12.75"/>
  <cols>
    <col min="1" max="1" width="0.28515625" style="29" customWidth="1"/>
    <col min="2" max="2" width="2.5703125" style="29" customWidth="1"/>
    <col min="3" max="3" width="23.5703125" style="29" customWidth="1"/>
    <col min="4" max="4" width="1.42578125" style="29" customWidth="1"/>
    <col min="5" max="5" width="58.7109375" style="29" customWidth="1"/>
    <col min="6" max="6" width="11.42578125" style="28"/>
    <col min="7" max="7" width="19.7109375" style="28" customWidth="1"/>
    <col min="8" max="9" width="11.42578125" style="28"/>
    <col min="10" max="10" width="11" style="28" bestFit="1" customWidth="1"/>
    <col min="11" max="253" width="11.42578125" style="28"/>
    <col min="254" max="254" width="0.28515625" style="28" customWidth="1"/>
    <col min="255" max="255" width="2.5703125" style="28" customWidth="1"/>
    <col min="256" max="256" width="18.5703125" style="28" customWidth="1"/>
    <col min="257" max="257" width="1.42578125" style="28" customWidth="1"/>
    <col min="258" max="258" width="58.7109375" style="28" customWidth="1"/>
    <col min="259" max="260" width="11.42578125" style="28"/>
    <col min="261" max="261" width="2.28515625" style="28" customWidth="1"/>
    <col min="262" max="262" width="11.42578125" style="28"/>
    <col min="263" max="263" width="9.5703125" style="28" customWidth="1"/>
    <col min="264" max="509" width="11.42578125" style="28"/>
    <col min="510" max="510" width="0.28515625" style="28" customWidth="1"/>
    <col min="511" max="511" width="2.5703125" style="28" customWidth="1"/>
    <col min="512" max="512" width="18.5703125" style="28" customWidth="1"/>
    <col min="513" max="513" width="1.42578125" style="28" customWidth="1"/>
    <col min="514" max="514" width="58.7109375" style="28" customWidth="1"/>
    <col min="515" max="516" width="11.42578125" style="28"/>
    <col min="517" max="517" width="2.28515625" style="28" customWidth="1"/>
    <col min="518" max="518" width="11.42578125" style="28"/>
    <col min="519" max="519" width="9.5703125" style="28" customWidth="1"/>
    <col min="520" max="765" width="11.42578125" style="28"/>
    <col min="766" max="766" width="0.28515625" style="28" customWidth="1"/>
    <col min="767" max="767" width="2.5703125" style="28" customWidth="1"/>
    <col min="768" max="768" width="18.5703125" style="28" customWidth="1"/>
    <col min="769" max="769" width="1.42578125" style="28" customWidth="1"/>
    <col min="770" max="770" width="58.7109375" style="28" customWidth="1"/>
    <col min="771" max="772" width="11.42578125" style="28"/>
    <col min="773" max="773" width="2.28515625" style="28" customWidth="1"/>
    <col min="774" max="774" width="11.42578125" style="28"/>
    <col min="775" max="775" width="9.5703125" style="28" customWidth="1"/>
    <col min="776" max="1021" width="11.42578125" style="28"/>
    <col min="1022" max="1022" width="0.28515625" style="28" customWidth="1"/>
    <col min="1023" max="1023" width="2.5703125" style="28" customWidth="1"/>
    <col min="1024" max="1024" width="18.5703125" style="28" customWidth="1"/>
    <col min="1025" max="1025" width="1.42578125" style="28" customWidth="1"/>
    <col min="1026" max="1026" width="58.7109375" style="28" customWidth="1"/>
    <col min="1027" max="1028" width="11.42578125" style="28"/>
    <col min="1029" max="1029" width="2.28515625" style="28" customWidth="1"/>
    <col min="1030" max="1030" width="11.42578125" style="28"/>
    <col min="1031" max="1031" width="9.5703125" style="28" customWidth="1"/>
    <col min="1032" max="1277" width="11.42578125" style="28"/>
    <col min="1278" max="1278" width="0.28515625" style="28" customWidth="1"/>
    <col min="1279" max="1279" width="2.5703125" style="28" customWidth="1"/>
    <col min="1280" max="1280" width="18.5703125" style="28" customWidth="1"/>
    <col min="1281" max="1281" width="1.42578125" style="28" customWidth="1"/>
    <col min="1282" max="1282" width="58.7109375" style="28" customWidth="1"/>
    <col min="1283" max="1284" width="11.42578125" style="28"/>
    <col min="1285" max="1285" width="2.28515625" style="28" customWidth="1"/>
    <col min="1286" max="1286" width="11.42578125" style="28"/>
    <col min="1287" max="1287" width="9.5703125" style="28" customWidth="1"/>
    <col min="1288" max="1533" width="11.42578125" style="28"/>
    <col min="1534" max="1534" width="0.28515625" style="28" customWidth="1"/>
    <col min="1535" max="1535" width="2.5703125" style="28" customWidth="1"/>
    <col min="1536" max="1536" width="18.5703125" style="28" customWidth="1"/>
    <col min="1537" max="1537" width="1.42578125" style="28" customWidth="1"/>
    <col min="1538" max="1538" width="58.7109375" style="28" customWidth="1"/>
    <col min="1539" max="1540" width="11.42578125" style="28"/>
    <col min="1541" max="1541" width="2.28515625" style="28" customWidth="1"/>
    <col min="1542" max="1542" width="11.42578125" style="28"/>
    <col min="1543" max="1543" width="9.5703125" style="28" customWidth="1"/>
    <col min="1544" max="1789" width="11.42578125" style="28"/>
    <col min="1790" max="1790" width="0.28515625" style="28" customWidth="1"/>
    <col min="1791" max="1791" width="2.5703125" style="28" customWidth="1"/>
    <col min="1792" max="1792" width="18.5703125" style="28" customWidth="1"/>
    <col min="1793" max="1793" width="1.42578125" style="28" customWidth="1"/>
    <col min="1794" max="1794" width="58.7109375" style="28" customWidth="1"/>
    <col min="1795" max="1796" width="11.42578125" style="28"/>
    <col min="1797" max="1797" width="2.28515625" style="28" customWidth="1"/>
    <col min="1798" max="1798" width="11.42578125" style="28"/>
    <col min="1799" max="1799" width="9.5703125" style="28" customWidth="1"/>
    <col min="1800" max="2045" width="11.42578125" style="28"/>
    <col min="2046" max="2046" width="0.28515625" style="28" customWidth="1"/>
    <col min="2047" max="2047" width="2.5703125" style="28" customWidth="1"/>
    <col min="2048" max="2048" width="18.5703125" style="28" customWidth="1"/>
    <col min="2049" max="2049" width="1.42578125" style="28" customWidth="1"/>
    <col min="2050" max="2050" width="58.7109375" style="28" customWidth="1"/>
    <col min="2051" max="2052" width="11.42578125" style="28"/>
    <col min="2053" max="2053" width="2.28515625" style="28" customWidth="1"/>
    <col min="2054" max="2054" width="11.42578125" style="28"/>
    <col min="2055" max="2055" width="9.5703125" style="28" customWidth="1"/>
    <col min="2056" max="2301" width="11.42578125" style="28"/>
    <col min="2302" max="2302" width="0.28515625" style="28" customWidth="1"/>
    <col min="2303" max="2303" width="2.5703125" style="28" customWidth="1"/>
    <col min="2304" max="2304" width="18.5703125" style="28" customWidth="1"/>
    <col min="2305" max="2305" width="1.42578125" style="28" customWidth="1"/>
    <col min="2306" max="2306" width="58.7109375" style="28" customWidth="1"/>
    <col min="2307" max="2308" width="11.42578125" style="28"/>
    <col min="2309" max="2309" width="2.28515625" style="28" customWidth="1"/>
    <col min="2310" max="2310" width="11.42578125" style="28"/>
    <col min="2311" max="2311" width="9.5703125" style="28" customWidth="1"/>
    <col min="2312" max="2557" width="11.42578125" style="28"/>
    <col min="2558" max="2558" width="0.28515625" style="28" customWidth="1"/>
    <col min="2559" max="2559" width="2.5703125" style="28" customWidth="1"/>
    <col min="2560" max="2560" width="18.5703125" style="28" customWidth="1"/>
    <col min="2561" max="2561" width="1.42578125" style="28" customWidth="1"/>
    <col min="2562" max="2562" width="58.7109375" style="28" customWidth="1"/>
    <col min="2563" max="2564" width="11.42578125" style="28"/>
    <col min="2565" max="2565" width="2.28515625" style="28" customWidth="1"/>
    <col min="2566" max="2566" width="11.42578125" style="28"/>
    <col min="2567" max="2567" width="9.5703125" style="28" customWidth="1"/>
    <col min="2568" max="2813" width="11.42578125" style="28"/>
    <col min="2814" max="2814" width="0.28515625" style="28" customWidth="1"/>
    <col min="2815" max="2815" width="2.5703125" style="28" customWidth="1"/>
    <col min="2816" max="2816" width="18.5703125" style="28" customWidth="1"/>
    <col min="2817" max="2817" width="1.42578125" style="28" customWidth="1"/>
    <col min="2818" max="2818" width="58.7109375" style="28" customWidth="1"/>
    <col min="2819" max="2820" width="11.42578125" style="28"/>
    <col min="2821" max="2821" width="2.28515625" style="28" customWidth="1"/>
    <col min="2822" max="2822" width="11.42578125" style="28"/>
    <col min="2823" max="2823" width="9.5703125" style="28" customWidth="1"/>
    <col min="2824" max="3069" width="11.42578125" style="28"/>
    <col min="3070" max="3070" width="0.28515625" style="28" customWidth="1"/>
    <col min="3071" max="3071" width="2.5703125" style="28" customWidth="1"/>
    <col min="3072" max="3072" width="18.5703125" style="28" customWidth="1"/>
    <col min="3073" max="3073" width="1.42578125" style="28" customWidth="1"/>
    <col min="3074" max="3074" width="58.7109375" style="28" customWidth="1"/>
    <col min="3075" max="3076" width="11.42578125" style="28"/>
    <col min="3077" max="3077" width="2.28515625" style="28" customWidth="1"/>
    <col min="3078" max="3078" width="11.42578125" style="28"/>
    <col min="3079" max="3079" width="9.5703125" style="28" customWidth="1"/>
    <col min="3080" max="3325" width="11.42578125" style="28"/>
    <col min="3326" max="3326" width="0.28515625" style="28" customWidth="1"/>
    <col min="3327" max="3327" width="2.5703125" style="28" customWidth="1"/>
    <col min="3328" max="3328" width="18.5703125" style="28" customWidth="1"/>
    <col min="3329" max="3329" width="1.42578125" style="28" customWidth="1"/>
    <col min="3330" max="3330" width="58.7109375" style="28" customWidth="1"/>
    <col min="3331" max="3332" width="11.42578125" style="28"/>
    <col min="3333" max="3333" width="2.28515625" style="28" customWidth="1"/>
    <col min="3334" max="3334" width="11.42578125" style="28"/>
    <col min="3335" max="3335" width="9.5703125" style="28" customWidth="1"/>
    <col min="3336" max="3581" width="11.42578125" style="28"/>
    <col min="3582" max="3582" width="0.28515625" style="28" customWidth="1"/>
    <col min="3583" max="3583" width="2.5703125" style="28" customWidth="1"/>
    <col min="3584" max="3584" width="18.5703125" style="28" customWidth="1"/>
    <col min="3585" max="3585" width="1.42578125" style="28" customWidth="1"/>
    <col min="3586" max="3586" width="58.7109375" style="28" customWidth="1"/>
    <col min="3587" max="3588" width="11.42578125" style="28"/>
    <col min="3589" max="3589" width="2.28515625" style="28" customWidth="1"/>
    <col min="3590" max="3590" width="11.42578125" style="28"/>
    <col min="3591" max="3591" width="9.5703125" style="28" customWidth="1"/>
    <col min="3592" max="3837" width="11.42578125" style="28"/>
    <col min="3838" max="3838" width="0.28515625" style="28" customWidth="1"/>
    <col min="3839" max="3839" width="2.5703125" style="28" customWidth="1"/>
    <col min="3840" max="3840" width="18.5703125" style="28" customWidth="1"/>
    <col min="3841" max="3841" width="1.42578125" style="28" customWidth="1"/>
    <col min="3842" max="3842" width="58.7109375" style="28" customWidth="1"/>
    <col min="3843" max="3844" width="11.42578125" style="28"/>
    <col min="3845" max="3845" width="2.28515625" style="28" customWidth="1"/>
    <col min="3846" max="3846" width="11.42578125" style="28"/>
    <col min="3847" max="3847" width="9.5703125" style="28" customWidth="1"/>
    <col min="3848" max="4093" width="11.42578125" style="28"/>
    <col min="4094" max="4094" width="0.28515625" style="28" customWidth="1"/>
    <col min="4095" max="4095" width="2.5703125" style="28" customWidth="1"/>
    <col min="4096" max="4096" width="18.5703125" style="28" customWidth="1"/>
    <col min="4097" max="4097" width="1.42578125" style="28" customWidth="1"/>
    <col min="4098" max="4098" width="58.7109375" style="28" customWidth="1"/>
    <col min="4099" max="4100" width="11.42578125" style="28"/>
    <col min="4101" max="4101" width="2.28515625" style="28" customWidth="1"/>
    <col min="4102" max="4102" width="11.42578125" style="28"/>
    <col min="4103" max="4103" width="9.5703125" style="28" customWidth="1"/>
    <col min="4104" max="4349" width="11.42578125" style="28"/>
    <col min="4350" max="4350" width="0.28515625" style="28" customWidth="1"/>
    <col min="4351" max="4351" width="2.5703125" style="28" customWidth="1"/>
    <col min="4352" max="4352" width="18.5703125" style="28" customWidth="1"/>
    <col min="4353" max="4353" width="1.42578125" style="28" customWidth="1"/>
    <col min="4354" max="4354" width="58.7109375" style="28" customWidth="1"/>
    <col min="4355" max="4356" width="11.42578125" style="28"/>
    <col min="4357" max="4357" width="2.28515625" style="28" customWidth="1"/>
    <col min="4358" max="4358" width="11.42578125" style="28"/>
    <col min="4359" max="4359" width="9.5703125" style="28" customWidth="1"/>
    <col min="4360" max="4605" width="11.42578125" style="28"/>
    <col min="4606" max="4606" width="0.28515625" style="28" customWidth="1"/>
    <col min="4607" max="4607" width="2.5703125" style="28" customWidth="1"/>
    <col min="4608" max="4608" width="18.5703125" style="28" customWidth="1"/>
    <col min="4609" max="4609" width="1.42578125" style="28" customWidth="1"/>
    <col min="4610" max="4610" width="58.7109375" style="28" customWidth="1"/>
    <col min="4611" max="4612" width="11.42578125" style="28"/>
    <col min="4613" max="4613" width="2.28515625" style="28" customWidth="1"/>
    <col min="4614" max="4614" width="11.42578125" style="28"/>
    <col min="4615" max="4615" width="9.5703125" style="28" customWidth="1"/>
    <col min="4616" max="4861" width="11.42578125" style="28"/>
    <col min="4862" max="4862" width="0.28515625" style="28" customWidth="1"/>
    <col min="4863" max="4863" width="2.5703125" style="28" customWidth="1"/>
    <col min="4864" max="4864" width="18.5703125" style="28" customWidth="1"/>
    <col min="4865" max="4865" width="1.42578125" style="28" customWidth="1"/>
    <col min="4866" max="4866" width="58.7109375" style="28" customWidth="1"/>
    <col min="4867" max="4868" width="11.42578125" style="28"/>
    <col min="4869" max="4869" width="2.28515625" style="28" customWidth="1"/>
    <col min="4870" max="4870" width="11.42578125" style="28"/>
    <col min="4871" max="4871" width="9.5703125" style="28" customWidth="1"/>
    <col min="4872" max="5117" width="11.42578125" style="28"/>
    <col min="5118" max="5118" width="0.28515625" style="28" customWidth="1"/>
    <col min="5119" max="5119" width="2.5703125" style="28" customWidth="1"/>
    <col min="5120" max="5120" width="18.5703125" style="28" customWidth="1"/>
    <col min="5121" max="5121" width="1.42578125" style="28" customWidth="1"/>
    <col min="5122" max="5122" width="58.7109375" style="28" customWidth="1"/>
    <col min="5123" max="5124" width="11.42578125" style="28"/>
    <col min="5125" max="5125" width="2.28515625" style="28" customWidth="1"/>
    <col min="5126" max="5126" width="11.42578125" style="28"/>
    <col min="5127" max="5127" width="9.5703125" style="28" customWidth="1"/>
    <col min="5128" max="5373" width="11.42578125" style="28"/>
    <col min="5374" max="5374" width="0.28515625" style="28" customWidth="1"/>
    <col min="5375" max="5375" width="2.5703125" style="28" customWidth="1"/>
    <col min="5376" max="5376" width="18.5703125" style="28" customWidth="1"/>
    <col min="5377" max="5377" width="1.42578125" style="28" customWidth="1"/>
    <col min="5378" max="5378" width="58.7109375" style="28" customWidth="1"/>
    <col min="5379" max="5380" width="11.42578125" style="28"/>
    <col min="5381" max="5381" width="2.28515625" style="28" customWidth="1"/>
    <col min="5382" max="5382" width="11.42578125" style="28"/>
    <col min="5383" max="5383" width="9.5703125" style="28" customWidth="1"/>
    <col min="5384" max="5629" width="11.42578125" style="28"/>
    <col min="5630" max="5630" width="0.28515625" style="28" customWidth="1"/>
    <col min="5631" max="5631" width="2.5703125" style="28" customWidth="1"/>
    <col min="5632" max="5632" width="18.5703125" style="28" customWidth="1"/>
    <col min="5633" max="5633" width="1.42578125" style="28" customWidth="1"/>
    <col min="5634" max="5634" width="58.7109375" style="28" customWidth="1"/>
    <col min="5635" max="5636" width="11.42578125" style="28"/>
    <col min="5637" max="5637" width="2.28515625" style="28" customWidth="1"/>
    <col min="5638" max="5638" width="11.42578125" style="28"/>
    <col min="5639" max="5639" width="9.5703125" style="28" customWidth="1"/>
    <col min="5640" max="5885" width="11.42578125" style="28"/>
    <col min="5886" max="5886" width="0.28515625" style="28" customWidth="1"/>
    <col min="5887" max="5887" width="2.5703125" style="28" customWidth="1"/>
    <col min="5888" max="5888" width="18.5703125" style="28" customWidth="1"/>
    <col min="5889" max="5889" width="1.42578125" style="28" customWidth="1"/>
    <col min="5890" max="5890" width="58.7109375" style="28" customWidth="1"/>
    <col min="5891" max="5892" width="11.42578125" style="28"/>
    <col min="5893" max="5893" width="2.28515625" style="28" customWidth="1"/>
    <col min="5894" max="5894" width="11.42578125" style="28"/>
    <col min="5895" max="5895" width="9.5703125" style="28" customWidth="1"/>
    <col min="5896" max="6141" width="11.42578125" style="28"/>
    <col min="6142" max="6142" width="0.28515625" style="28" customWidth="1"/>
    <col min="6143" max="6143" width="2.5703125" style="28" customWidth="1"/>
    <col min="6144" max="6144" width="18.5703125" style="28" customWidth="1"/>
    <col min="6145" max="6145" width="1.42578125" style="28" customWidth="1"/>
    <col min="6146" max="6146" width="58.7109375" style="28" customWidth="1"/>
    <col min="6147" max="6148" width="11.42578125" style="28"/>
    <col min="6149" max="6149" width="2.28515625" style="28" customWidth="1"/>
    <col min="6150" max="6150" width="11.42578125" style="28"/>
    <col min="6151" max="6151" width="9.5703125" style="28" customWidth="1"/>
    <col min="6152" max="6397" width="11.42578125" style="28"/>
    <col min="6398" max="6398" width="0.28515625" style="28" customWidth="1"/>
    <col min="6399" max="6399" width="2.5703125" style="28" customWidth="1"/>
    <col min="6400" max="6400" width="18.5703125" style="28" customWidth="1"/>
    <col min="6401" max="6401" width="1.42578125" style="28" customWidth="1"/>
    <col min="6402" max="6402" width="58.7109375" style="28" customWidth="1"/>
    <col min="6403" max="6404" width="11.42578125" style="28"/>
    <col min="6405" max="6405" width="2.28515625" style="28" customWidth="1"/>
    <col min="6406" max="6406" width="11.42578125" style="28"/>
    <col min="6407" max="6407" width="9.5703125" style="28" customWidth="1"/>
    <col min="6408" max="6653" width="11.42578125" style="28"/>
    <col min="6654" max="6654" width="0.28515625" style="28" customWidth="1"/>
    <col min="6655" max="6655" width="2.5703125" style="28" customWidth="1"/>
    <col min="6656" max="6656" width="18.5703125" style="28" customWidth="1"/>
    <col min="6657" max="6657" width="1.42578125" style="28" customWidth="1"/>
    <col min="6658" max="6658" width="58.7109375" style="28" customWidth="1"/>
    <col min="6659" max="6660" width="11.42578125" style="28"/>
    <col min="6661" max="6661" width="2.28515625" style="28" customWidth="1"/>
    <col min="6662" max="6662" width="11.42578125" style="28"/>
    <col min="6663" max="6663" width="9.5703125" style="28" customWidth="1"/>
    <col min="6664" max="6909" width="11.42578125" style="28"/>
    <col min="6910" max="6910" width="0.28515625" style="28" customWidth="1"/>
    <col min="6911" max="6911" width="2.5703125" style="28" customWidth="1"/>
    <col min="6912" max="6912" width="18.5703125" style="28" customWidth="1"/>
    <col min="6913" max="6913" width="1.42578125" style="28" customWidth="1"/>
    <col min="6914" max="6914" width="58.7109375" style="28" customWidth="1"/>
    <col min="6915" max="6916" width="11.42578125" style="28"/>
    <col min="6917" max="6917" width="2.28515625" style="28" customWidth="1"/>
    <col min="6918" max="6918" width="11.42578125" style="28"/>
    <col min="6919" max="6919" width="9.5703125" style="28" customWidth="1"/>
    <col min="6920" max="7165" width="11.42578125" style="28"/>
    <col min="7166" max="7166" width="0.28515625" style="28" customWidth="1"/>
    <col min="7167" max="7167" width="2.5703125" style="28" customWidth="1"/>
    <col min="7168" max="7168" width="18.5703125" style="28" customWidth="1"/>
    <col min="7169" max="7169" width="1.42578125" style="28" customWidth="1"/>
    <col min="7170" max="7170" width="58.7109375" style="28" customWidth="1"/>
    <col min="7171" max="7172" width="11.42578125" style="28"/>
    <col min="7173" max="7173" width="2.28515625" style="28" customWidth="1"/>
    <col min="7174" max="7174" width="11.42578125" style="28"/>
    <col min="7175" max="7175" width="9.5703125" style="28" customWidth="1"/>
    <col min="7176" max="7421" width="11.42578125" style="28"/>
    <col min="7422" max="7422" width="0.28515625" style="28" customWidth="1"/>
    <col min="7423" max="7423" width="2.5703125" style="28" customWidth="1"/>
    <col min="7424" max="7424" width="18.5703125" style="28" customWidth="1"/>
    <col min="7425" max="7425" width="1.42578125" style="28" customWidth="1"/>
    <col min="7426" max="7426" width="58.7109375" style="28" customWidth="1"/>
    <col min="7427" max="7428" width="11.42578125" style="28"/>
    <col min="7429" max="7429" width="2.28515625" style="28" customWidth="1"/>
    <col min="7430" max="7430" width="11.42578125" style="28"/>
    <col min="7431" max="7431" width="9.5703125" style="28" customWidth="1"/>
    <col min="7432" max="7677" width="11.42578125" style="28"/>
    <col min="7678" max="7678" width="0.28515625" style="28" customWidth="1"/>
    <col min="7679" max="7679" width="2.5703125" style="28" customWidth="1"/>
    <col min="7680" max="7680" width="18.5703125" style="28" customWidth="1"/>
    <col min="7681" max="7681" width="1.42578125" style="28" customWidth="1"/>
    <col min="7682" max="7682" width="58.7109375" style="28" customWidth="1"/>
    <col min="7683" max="7684" width="11.42578125" style="28"/>
    <col min="7685" max="7685" width="2.28515625" style="28" customWidth="1"/>
    <col min="7686" max="7686" width="11.42578125" style="28"/>
    <col min="7687" max="7687" width="9.5703125" style="28" customWidth="1"/>
    <col min="7688" max="7933" width="11.42578125" style="28"/>
    <col min="7934" max="7934" width="0.28515625" style="28" customWidth="1"/>
    <col min="7935" max="7935" width="2.5703125" style="28" customWidth="1"/>
    <col min="7936" max="7936" width="18.5703125" style="28" customWidth="1"/>
    <col min="7937" max="7937" width="1.42578125" style="28" customWidth="1"/>
    <col min="7938" max="7938" width="58.7109375" style="28" customWidth="1"/>
    <col min="7939" max="7940" width="11.42578125" style="28"/>
    <col min="7941" max="7941" width="2.28515625" style="28" customWidth="1"/>
    <col min="7942" max="7942" width="11.42578125" style="28"/>
    <col min="7943" max="7943" width="9.5703125" style="28" customWidth="1"/>
    <col min="7944" max="8189" width="11.42578125" style="28"/>
    <col min="8190" max="8190" width="0.28515625" style="28" customWidth="1"/>
    <col min="8191" max="8191" width="2.5703125" style="28" customWidth="1"/>
    <col min="8192" max="8192" width="18.5703125" style="28" customWidth="1"/>
    <col min="8193" max="8193" width="1.42578125" style="28" customWidth="1"/>
    <col min="8194" max="8194" width="58.7109375" style="28" customWidth="1"/>
    <col min="8195" max="8196" width="11.42578125" style="28"/>
    <col min="8197" max="8197" width="2.28515625" style="28" customWidth="1"/>
    <col min="8198" max="8198" width="11.42578125" style="28"/>
    <col min="8199" max="8199" width="9.5703125" style="28" customWidth="1"/>
    <col min="8200" max="8445" width="11.42578125" style="28"/>
    <col min="8446" max="8446" width="0.28515625" style="28" customWidth="1"/>
    <col min="8447" max="8447" width="2.5703125" style="28" customWidth="1"/>
    <col min="8448" max="8448" width="18.5703125" style="28" customWidth="1"/>
    <col min="8449" max="8449" width="1.42578125" style="28" customWidth="1"/>
    <col min="8450" max="8450" width="58.7109375" style="28" customWidth="1"/>
    <col min="8451" max="8452" width="11.42578125" style="28"/>
    <col min="8453" max="8453" width="2.28515625" style="28" customWidth="1"/>
    <col min="8454" max="8454" width="11.42578125" style="28"/>
    <col min="8455" max="8455" width="9.5703125" style="28" customWidth="1"/>
    <col min="8456" max="8701" width="11.42578125" style="28"/>
    <col min="8702" max="8702" width="0.28515625" style="28" customWidth="1"/>
    <col min="8703" max="8703" width="2.5703125" style="28" customWidth="1"/>
    <col min="8704" max="8704" width="18.5703125" style="28" customWidth="1"/>
    <col min="8705" max="8705" width="1.42578125" style="28" customWidth="1"/>
    <col min="8706" max="8706" width="58.7109375" style="28" customWidth="1"/>
    <col min="8707" max="8708" width="11.42578125" style="28"/>
    <col min="8709" max="8709" width="2.28515625" style="28" customWidth="1"/>
    <col min="8710" max="8710" width="11.42578125" style="28"/>
    <col min="8711" max="8711" width="9.5703125" style="28" customWidth="1"/>
    <col min="8712" max="8957" width="11.42578125" style="28"/>
    <col min="8958" max="8958" width="0.28515625" style="28" customWidth="1"/>
    <col min="8959" max="8959" width="2.5703125" style="28" customWidth="1"/>
    <col min="8960" max="8960" width="18.5703125" style="28" customWidth="1"/>
    <col min="8961" max="8961" width="1.42578125" style="28" customWidth="1"/>
    <col min="8962" max="8962" width="58.7109375" style="28" customWidth="1"/>
    <col min="8963" max="8964" width="11.42578125" style="28"/>
    <col min="8965" max="8965" width="2.28515625" style="28" customWidth="1"/>
    <col min="8966" max="8966" width="11.42578125" style="28"/>
    <col min="8967" max="8967" width="9.5703125" style="28" customWidth="1"/>
    <col min="8968" max="9213" width="11.42578125" style="28"/>
    <col min="9214" max="9214" width="0.28515625" style="28" customWidth="1"/>
    <col min="9215" max="9215" width="2.5703125" style="28" customWidth="1"/>
    <col min="9216" max="9216" width="18.5703125" style="28" customWidth="1"/>
    <col min="9217" max="9217" width="1.42578125" style="28" customWidth="1"/>
    <col min="9218" max="9218" width="58.7109375" style="28" customWidth="1"/>
    <col min="9219" max="9220" width="11.42578125" style="28"/>
    <col min="9221" max="9221" width="2.28515625" style="28" customWidth="1"/>
    <col min="9222" max="9222" width="11.42578125" style="28"/>
    <col min="9223" max="9223" width="9.5703125" style="28" customWidth="1"/>
    <col min="9224" max="9469" width="11.42578125" style="28"/>
    <col min="9470" max="9470" width="0.28515625" style="28" customWidth="1"/>
    <col min="9471" max="9471" width="2.5703125" style="28" customWidth="1"/>
    <col min="9472" max="9472" width="18.5703125" style="28" customWidth="1"/>
    <col min="9473" max="9473" width="1.42578125" style="28" customWidth="1"/>
    <col min="9474" max="9474" width="58.7109375" style="28" customWidth="1"/>
    <col min="9475" max="9476" width="11.42578125" style="28"/>
    <col min="9477" max="9477" width="2.28515625" style="28" customWidth="1"/>
    <col min="9478" max="9478" width="11.42578125" style="28"/>
    <col min="9479" max="9479" width="9.5703125" style="28" customWidth="1"/>
    <col min="9480" max="9725" width="11.42578125" style="28"/>
    <col min="9726" max="9726" width="0.28515625" style="28" customWidth="1"/>
    <col min="9727" max="9727" width="2.5703125" style="28" customWidth="1"/>
    <col min="9728" max="9728" width="18.5703125" style="28" customWidth="1"/>
    <col min="9729" max="9729" width="1.42578125" style="28" customWidth="1"/>
    <col min="9730" max="9730" width="58.7109375" style="28" customWidth="1"/>
    <col min="9731" max="9732" width="11.42578125" style="28"/>
    <col min="9733" max="9733" width="2.28515625" style="28" customWidth="1"/>
    <col min="9734" max="9734" width="11.42578125" style="28"/>
    <col min="9735" max="9735" width="9.5703125" style="28" customWidth="1"/>
    <col min="9736" max="9981" width="11.42578125" style="28"/>
    <col min="9982" max="9982" width="0.28515625" style="28" customWidth="1"/>
    <col min="9983" max="9983" width="2.5703125" style="28" customWidth="1"/>
    <col min="9984" max="9984" width="18.5703125" style="28" customWidth="1"/>
    <col min="9985" max="9985" width="1.42578125" style="28" customWidth="1"/>
    <col min="9986" max="9986" width="58.7109375" style="28" customWidth="1"/>
    <col min="9987" max="9988" width="11.42578125" style="28"/>
    <col min="9989" max="9989" width="2.28515625" style="28" customWidth="1"/>
    <col min="9990" max="9990" width="11.42578125" style="28"/>
    <col min="9991" max="9991" width="9.5703125" style="28" customWidth="1"/>
    <col min="9992" max="10237" width="11.42578125" style="28"/>
    <col min="10238" max="10238" width="0.28515625" style="28" customWidth="1"/>
    <col min="10239" max="10239" width="2.5703125" style="28" customWidth="1"/>
    <col min="10240" max="10240" width="18.5703125" style="28" customWidth="1"/>
    <col min="10241" max="10241" width="1.42578125" style="28" customWidth="1"/>
    <col min="10242" max="10242" width="58.7109375" style="28" customWidth="1"/>
    <col min="10243" max="10244" width="11.42578125" style="28"/>
    <col min="10245" max="10245" width="2.28515625" style="28" customWidth="1"/>
    <col min="10246" max="10246" width="11.42578125" style="28"/>
    <col min="10247" max="10247" width="9.5703125" style="28" customWidth="1"/>
    <col min="10248" max="10493" width="11.42578125" style="28"/>
    <col min="10494" max="10494" width="0.28515625" style="28" customWidth="1"/>
    <col min="10495" max="10495" width="2.5703125" style="28" customWidth="1"/>
    <col min="10496" max="10496" width="18.5703125" style="28" customWidth="1"/>
    <col min="10497" max="10497" width="1.42578125" style="28" customWidth="1"/>
    <col min="10498" max="10498" width="58.7109375" style="28" customWidth="1"/>
    <col min="10499" max="10500" width="11.42578125" style="28"/>
    <col min="10501" max="10501" width="2.28515625" style="28" customWidth="1"/>
    <col min="10502" max="10502" width="11.42578125" style="28"/>
    <col min="10503" max="10503" width="9.5703125" style="28" customWidth="1"/>
    <col min="10504" max="10749" width="11.42578125" style="28"/>
    <col min="10750" max="10750" width="0.28515625" style="28" customWidth="1"/>
    <col min="10751" max="10751" width="2.5703125" style="28" customWidth="1"/>
    <col min="10752" max="10752" width="18.5703125" style="28" customWidth="1"/>
    <col min="10753" max="10753" width="1.42578125" style="28" customWidth="1"/>
    <col min="10754" max="10754" width="58.7109375" style="28" customWidth="1"/>
    <col min="10755" max="10756" width="11.42578125" style="28"/>
    <col min="10757" max="10757" width="2.28515625" style="28" customWidth="1"/>
    <col min="10758" max="10758" width="11.42578125" style="28"/>
    <col min="10759" max="10759" width="9.5703125" style="28" customWidth="1"/>
    <col min="10760" max="11005" width="11.42578125" style="28"/>
    <col min="11006" max="11006" width="0.28515625" style="28" customWidth="1"/>
    <col min="11007" max="11007" width="2.5703125" style="28" customWidth="1"/>
    <col min="11008" max="11008" width="18.5703125" style="28" customWidth="1"/>
    <col min="11009" max="11009" width="1.42578125" style="28" customWidth="1"/>
    <col min="11010" max="11010" width="58.7109375" style="28" customWidth="1"/>
    <col min="11011" max="11012" width="11.42578125" style="28"/>
    <col min="11013" max="11013" width="2.28515625" style="28" customWidth="1"/>
    <col min="11014" max="11014" width="11.42578125" style="28"/>
    <col min="11015" max="11015" width="9.5703125" style="28" customWidth="1"/>
    <col min="11016" max="11261" width="11.42578125" style="28"/>
    <col min="11262" max="11262" width="0.28515625" style="28" customWidth="1"/>
    <col min="11263" max="11263" width="2.5703125" style="28" customWidth="1"/>
    <col min="11264" max="11264" width="18.5703125" style="28" customWidth="1"/>
    <col min="11265" max="11265" width="1.42578125" style="28" customWidth="1"/>
    <col min="11266" max="11266" width="58.7109375" style="28" customWidth="1"/>
    <col min="11267" max="11268" width="11.42578125" style="28"/>
    <col min="11269" max="11269" width="2.28515625" style="28" customWidth="1"/>
    <col min="11270" max="11270" width="11.42578125" style="28"/>
    <col min="11271" max="11271" width="9.5703125" style="28" customWidth="1"/>
    <col min="11272" max="11517" width="11.42578125" style="28"/>
    <col min="11518" max="11518" width="0.28515625" style="28" customWidth="1"/>
    <col min="11519" max="11519" width="2.5703125" style="28" customWidth="1"/>
    <col min="11520" max="11520" width="18.5703125" style="28" customWidth="1"/>
    <col min="11521" max="11521" width="1.42578125" style="28" customWidth="1"/>
    <col min="11522" max="11522" width="58.7109375" style="28" customWidth="1"/>
    <col min="11523" max="11524" width="11.42578125" style="28"/>
    <col min="11525" max="11525" width="2.28515625" style="28" customWidth="1"/>
    <col min="11526" max="11526" width="11.42578125" style="28"/>
    <col min="11527" max="11527" width="9.5703125" style="28" customWidth="1"/>
    <col min="11528" max="11773" width="11.42578125" style="28"/>
    <col min="11774" max="11774" width="0.28515625" style="28" customWidth="1"/>
    <col min="11775" max="11775" width="2.5703125" style="28" customWidth="1"/>
    <col min="11776" max="11776" width="18.5703125" style="28" customWidth="1"/>
    <col min="11777" max="11777" width="1.42578125" style="28" customWidth="1"/>
    <col min="11778" max="11778" width="58.7109375" style="28" customWidth="1"/>
    <col min="11779" max="11780" width="11.42578125" style="28"/>
    <col min="11781" max="11781" width="2.28515625" style="28" customWidth="1"/>
    <col min="11782" max="11782" width="11.42578125" style="28"/>
    <col min="11783" max="11783" width="9.5703125" style="28" customWidth="1"/>
    <col min="11784" max="12029" width="11.42578125" style="28"/>
    <col min="12030" max="12030" width="0.28515625" style="28" customWidth="1"/>
    <col min="12031" max="12031" width="2.5703125" style="28" customWidth="1"/>
    <col min="12032" max="12032" width="18.5703125" style="28" customWidth="1"/>
    <col min="12033" max="12033" width="1.42578125" style="28" customWidth="1"/>
    <col min="12034" max="12034" width="58.7109375" style="28" customWidth="1"/>
    <col min="12035" max="12036" width="11.42578125" style="28"/>
    <col min="12037" max="12037" width="2.28515625" style="28" customWidth="1"/>
    <col min="12038" max="12038" width="11.42578125" style="28"/>
    <col min="12039" max="12039" width="9.5703125" style="28" customWidth="1"/>
    <col min="12040" max="12285" width="11.42578125" style="28"/>
    <col min="12286" max="12286" width="0.28515625" style="28" customWidth="1"/>
    <col min="12287" max="12287" width="2.5703125" style="28" customWidth="1"/>
    <col min="12288" max="12288" width="18.5703125" style="28" customWidth="1"/>
    <col min="12289" max="12289" width="1.42578125" style="28" customWidth="1"/>
    <col min="12290" max="12290" width="58.7109375" style="28" customWidth="1"/>
    <col min="12291" max="12292" width="11.42578125" style="28"/>
    <col min="12293" max="12293" width="2.28515625" style="28" customWidth="1"/>
    <col min="12294" max="12294" width="11.42578125" style="28"/>
    <col min="12295" max="12295" width="9.5703125" style="28" customWidth="1"/>
    <col min="12296" max="12541" width="11.42578125" style="28"/>
    <col min="12542" max="12542" width="0.28515625" style="28" customWidth="1"/>
    <col min="12543" max="12543" width="2.5703125" style="28" customWidth="1"/>
    <col min="12544" max="12544" width="18.5703125" style="28" customWidth="1"/>
    <col min="12545" max="12545" width="1.42578125" style="28" customWidth="1"/>
    <col min="12546" max="12546" width="58.7109375" style="28" customWidth="1"/>
    <col min="12547" max="12548" width="11.42578125" style="28"/>
    <col min="12549" max="12549" width="2.28515625" style="28" customWidth="1"/>
    <col min="12550" max="12550" width="11.42578125" style="28"/>
    <col min="12551" max="12551" width="9.5703125" style="28" customWidth="1"/>
    <col min="12552" max="12797" width="11.42578125" style="28"/>
    <col min="12798" max="12798" width="0.28515625" style="28" customWidth="1"/>
    <col min="12799" max="12799" width="2.5703125" style="28" customWidth="1"/>
    <col min="12800" max="12800" width="18.5703125" style="28" customWidth="1"/>
    <col min="12801" max="12801" width="1.42578125" style="28" customWidth="1"/>
    <col min="12802" max="12802" width="58.7109375" style="28" customWidth="1"/>
    <col min="12803" max="12804" width="11.42578125" style="28"/>
    <col min="12805" max="12805" width="2.28515625" style="28" customWidth="1"/>
    <col min="12806" max="12806" width="11.42578125" style="28"/>
    <col min="12807" max="12807" width="9.5703125" style="28" customWidth="1"/>
    <col min="12808" max="13053" width="11.42578125" style="28"/>
    <col min="13054" max="13054" width="0.28515625" style="28" customWidth="1"/>
    <col min="13055" max="13055" width="2.5703125" style="28" customWidth="1"/>
    <col min="13056" max="13056" width="18.5703125" style="28" customWidth="1"/>
    <col min="13057" max="13057" width="1.42578125" style="28" customWidth="1"/>
    <col min="13058" max="13058" width="58.7109375" style="28" customWidth="1"/>
    <col min="13059" max="13060" width="11.42578125" style="28"/>
    <col min="13061" max="13061" width="2.28515625" style="28" customWidth="1"/>
    <col min="13062" max="13062" width="11.42578125" style="28"/>
    <col min="13063" max="13063" width="9.5703125" style="28" customWidth="1"/>
    <col min="13064" max="13309" width="11.42578125" style="28"/>
    <col min="13310" max="13310" width="0.28515625" style="28" customWidth="1"/>
    <col min="13311" max="13311" width="2.5703125" style="28" customWidth="1"/>
    <col min="13312" max="13312" width="18.5703125" style="28" customWidth="1"/>
    <col min="13313" max="13313" width="1.42578125" style="28" customWidth="1"/>
    <col min="13314" max="13314" width="58.7109375" style="28" customWidth="1"/>
    <col min="13315" max="13316" width="11.42578125" style="28"/>
    <col min="13317" max="13317" width="2.28515625" style="28" customWidth="1"/>
    <col min="13318" max="13318" width="11.42578125" style="28"/>
    <col min="13319" max="13319" width="9.5703125" style="28" customWidth="1"/>
    <col min="13320" max="13565" width="11.42578125" style="28"/>
    <col min="13566" max="13566" width="0.28515625" style="28" customWidth="1"/>
    <col min="13567" max="13567" width="2.5703125" style="28" customWidth="1"/>
    <col min="13568" max="13568" width="18.5703125" style="28" customWidth="1"/>
    <col min="13569" max="13569" width="1.42578125" style="28" customWidth="1"/>
    <col min="13570" max="13570" width="58.7109375" style="28" customWidth="1"/>
    <col min="13571" max="13572" width="11.42578125" style="28"/>
    <col min="13573" max="13573" width="2.28515625" style="28" customWidth="1"/>
    <col min="13574" max="13574" width="11.42578125" style="28"/>
    <col min="13575" max="13575" width="9.5703125" style="28" customWidth="1"/>
    <col min="13576" max="13821" width="11.42578125" style="28"/>
    <col min="13822" max="13822" width="0.28515625" style="28" customWidth="1"/>
    <col min="13823" max="13823" width="2.5703125" style="28" customWidth="1"/>
    <col min="13824" max="13824" width="18.5703125" style="28" customWidth="1"/>
    <col min="13825" max="13825" width="1.42578125" style="28" customWidth="1"/>
    <col min="13826" max="13826" width="58.7109375" style="28" customWidth="1"/>
    <col min="13827" max="13828" width="11.42578125" style="28"/>
    <col min="13829" max="13829" width="2.28515625" style="28" customWidth="1"/>
    <col min="13830" max="13830" width="11.42578125" style="28"/>
    <col min="13831" max="13831" width="9.5703125" style="28" customWidth="1"/>
    <col min="13832" max="14077" width="11.42578125" style="28"/>
    <col min="14078" max="14078" width="0.28515625" style="28" customWidth="1"/>
    <col min="14079" max="14079" width="2.5703125" style="28" customWidth="1"/>
    <col min="14080" max="14080" width="18.5703125" style="28" customWidth="1"/>
    <col min="14081" max="14081" width="1.42578125" style="28" customWidth="1"/>
    <col min="14082" max="14082" width="58.7109375" style="28" customWidth="1"/>
    <col min="14083" max="14084" width="11.42578125" style="28"/>
    <col min="14085" max="14085" width="2.28515625" style="28" customWidth="1"/>
    <col min="14086" max="14086" width="11.42578125" style="28"/>
    <col min="14087" max="14087" width="9.5703125" style="28" customWidth="1"/>
    <col min="14088" max="14333" width="11.42578125" style="28"/>
    <col min="14334" max="14334" width="0.28515625" style="28" customWidth="1"/>
    <col min="14335" max="14335" width="2.5703125" style="28" customWidth="1"/>
    <col min="14336" max="14336" width="18.5703125" style="28" customWidth="1"/>
    <col min="14337" max="14337" width="1.42578125" style="28" customWidth="1"/>
    <col min="14338" max="14338" width="58.7109375" style="28" customWidth="1"/>
    <col min="14339" max="14340" width="11.42578125" style="28"/>
    <col min="14341" max="14341" width="2.28515625" style="28" customWidth="1"/>
    <col min="14342" max="14342" width="11.42578125" style="28"/>
    <col min="14343" max="14343" width="9.5703125" style="28" customWidth="1"/>
    <col min="14344" max="14589" width="11.42578125" style="28"/>
    <col min="14590" max="14590" width="0.28515625" style="28" customWidth="1"/>
    <col min="14591" max="14591" width="2.5703125" style="28" customWidth="1"/>
    <col min="14592" max="14592" width="18.5703125" style="28" customWidth="1"/>
    <col min="14593" max="14593" width="1.42578125" style="28" customWidth="1"/>
    <col min="14594" max="14594" width="58.7109375" style="28" customWidth="1"/>
    <col min="14595" max="14596" width="11.42578125" style="28"/>
    <col min="14597" max="14597" width="2.28515625" style="28" customWidth="1"/>
    <col min="14598" max="14598" width="11.42578125" style="28"/>
    <col min="14599" max="14599" width="9.5703125" style="28" customWidth="1"/>
    <col min="14600" max="14845" width="11.42578125" style="28"/>
    <col min="14846" max="14846" width="0.28515625" style="28" customWidth="1"/>
    <col min="14847" max="14847" width="2.5703125" style="28" customWidth="1"/>
    <col min="14848" max="14848" width="18.5703125" style="28" customWidth="1"/>
    <col min="14849" max="14849" width="1.42578125" style="28" customWidth="1"/>
    <col min="14850" max="14850" width="58.7109375" style="28" customWidth="1"/>
    <col min="14851" max="14852" width="11.42578125" style="28"/>
    <col min="14853" max="14853" width="2.28515625" style="28" customWidth="1"/>
    <col min="14854" max="14854" width="11.42578125" style="28"/>
    <col min="14855" max="14855" width="9.5703125" style="28" customWidth="1"/>
    <col min="14856" max="15101" width="11.42578125" style="28"/>
    <col min="15102" max="15102" width="0.28515625" style="28" customWidth="1"/>
    <col min="15103" max="15103" width="2.5703125" style="28" customWidth="1"/>
    <col min="15104" max="15104" width="18.5703125" style="28" customWidth="1"/>
    <col min="15105" max="15105" width="1.42578125" style="28" customWidth="1"/>
    <col min="15106" max="15106" width="58.7109375" style="28" customWidth="1"/>
    <col min="15107" max="15108" width="11.42578125" style="28"/>
    <col min="15109" max="15109" width="2.28515625" style="28" customWidth="1"/>
    <col min="15110" max="15110" width="11.42578125" style="28"/>
    <col min="15111" max="15111" width="9.5703125" style="28" customWidth="1"/>
    <col min="15112" max="15357" width="11.42578125" style="28"/>
    <col min="15358" max="15358" width="0.28515625" style="28" customWidth="1"/>
    <col min="15359" max="15359" width="2.5703125" style="28" customWidth="1"/>
    <col min="15360" max="15360" width="18.5703125" style="28" customWidth="1"/>
    <col min="15361" max="15361" width="1.42578125" style="28" customWidth="1"/>
    <col min="15362" max="15362" width="58.7109375" style="28" customWidth="1"/>
    <col min="15363" max="15364" width="11.42578125" style="28"/>
    <col min="15365" max="15365" width="2.28515625" style="28" customWidth="1"/>
    <col min="15366" max="15366" width="11.42578125" style="28"/>
    <col min="15367" max="15367" width="9.5703125" style="28" customWidth="1"/>
    <col min="15368" max="15613" width="11.42578125" style="28"/>
    <col min="15614" max="15614" width="0.28515625" style="28" customWidth="1"/>
    <col min="15615" max="15615" width="2.5703125" style="28" customWidth="1"/>
    <col min="15616" max="15616" width="18.5703125" style="28" customWidth="1"/>
    <col min="15617" max="15617" width="1.42578125" style="28" customWidth="1"/>
    <col min="15618" max="15618" width="58.7109375" style="28" customWidth="1"/>
    <col min="15619" max="15620" width="11.42578125" style="28"/>
    <col min="15621" max="15621" width="2.28515625" style="28" customWidth="1"/>
    <col min="15622" max="15622" width="11.42578125" style="28"/>
    <col min="15623" max="15623" width="9.5703125" style="28" customWidth="1"/>
    <col min="15624" max="15869" width="11.42578125" style="28"/>
    <col min="15870" max="15870" width="0.28515625" style="28" customWidth="1"/>
    <col min="15871" max="15871" width="2.5703125" style="28" customWidth="1"/>
    <col min="15872" max="15872" width="18.5703125" style="28" customWidth="1"/>
    <col min="15873" max="15873" width="1.42578125" style="28" customWidth="1"/>
    <col min="15874" max="15874" width="58.7109375" style="28" customWidth="1"/>
    <col min="15875" max="15876" width="11.42578125" style="28"/>
    <col min="15877" max="15877" width="2.28515625" style="28" customWidth="1"/>
    <col min="15878" max="15878" width="11.42578125" style="28"/>
    <col min="15879" max="15879" width="9.5703125" style="28" customWidth="1"/>
    <col min="15880" max="16125" width="11.42578125" style="28"/>
    <col min="16126" max="16126" width="0.28515625" style="28" customWidth="1"/>
    <col min="16127" max="16127" width="2.5703125" style="28" customWidth="1"/>
    <col min="16128" max="16128" width="18.5703125" style="28" customWidth="1"/>
    <col min="16129" max="16129" width="1.42578125" style="28" customWidth="1"/>
    <col min="16130" max="16130" width="58.7109375" style="28" customWidth="1"/>
    <col min="16131" max="16132" width="11.42578125" style="28"/>
    <col min="16133" max="16133" width="2.28515625" style="28" customWidth="1"/>
    <col min="16134" max="16134" width="11.42578125" style="28"/>
    <col min="16135" max="16135" width="9.5703125" style="28" customWidth="1"/>
    <col min="16136" max="16384" width="11.42578125" style="28"/>
  </cols>
  <sheetData>
    <row r="1" spans="2:12" s="29" customFormat="1" ht="0.75" customHeight="1"/>
    <row r="2" spans="2:12" s="29" customFormat="1" ht="21" customHeight="1">
      <c r="E2" s="27" t="s">
        <v>19</v>
      </c>
    </row>
    <row r="3" spans="2:12" s="29" customFormat="1" ht="15" customHeight="1">
      <c r="E3" s="43" t="str">
        <f>Indice!E3</f>
        <v>Enero 2025</v>
      </c>
    </row>
    <row r="4" spans="2:12" s="31" customFormat="1" ht="20.25" customHeight="1">
      <c r="B4" s="39"/>
      <c r="C4" s="25" t="s">
        <v>39</v>
      </c>
    </row>
    <row r="5" spans="2:12" s="31" customFormat="1" ht="12.75" customHeight="1">
      <c r="B5" s="39"/>
      <c r="C5" s="42"/>
    </row>
    <row r="6" spans="2:12" s="31" customFormat="1" ht="13.5" customHeight="1">
      <c r="B6" s="39"/>
      <c r="C6" s="38"/>
      <c r="D6" s="37"/>
      <c r="E6" s="37"/>
    </row>
    <row r="7" spans="2:12" s="31" customFormat="1" ht="12.75" customHeight="1">
      <c r="B7" s="39"/>
      <c r="C7" s="201" t="s">
        <v>120</v>
      </c>
      <c r="D7" s="37"/>
      <c r="E7" s="41"/>
    </row>
    <row r="8" spans="2:12" s="31" customFormat="1" ht="12.75" customHeight="1">
      <c r="B8" s="39"/>
      <c r="C8" s="201"/>
      <c r="D8" s="37"/>
      <c r="E8" s="41"/>
      <c r="J8" s="30"/>
      <c r="K8" s="30"/>
      <c r="L8" s="30"/>
    </row>
    <row r="9" spans="2:12" s="31" customFormat="1" ht="12.75" customHeight="1">
      <c r="B9" s="39"/>
      <c r="C9" s="201"/>
      <c r="D9" s="37"/>
      <c r="E9" s="41"/>
      <c r="J9" s="30"/>
      <c r="K9" s="78"/>
      <c r="L9" s="79"/>
    </row>
    <row r="10" spans="2:12" s="31" customFormat="1" ht="12.75" customHeight="1">
      <c r="B10" s="39"/>
      <c r="C10" s="32"/>
      <c r="D10" s="37"/>
      <c r="E10" s="41"/>
      <c r="J10" s="30"/>
      <c r="K10" s="80"/>
      <c r="L10" s="77"/>
    </row>
    <row r="11" spans="2:12" s="31" customFormat="1" ht="12.75" customHeight="1">
      <c r="B11" s="39"/>
      <c r="D11" s="37"/>
      <c r="E11" s="37"/>
      <c r="J11" s="30"/>
      <c r="K11" s="80"/>
      <c r="L11" s="77"/>
    </row>
    <row r="12" spans="2:12" s="31" customFormat="1" ht="12.75" customHeight="1">
      <c r="B12" s="39"/>
      <c r="C12" s="40"/>
      <c r="D12" s="37"/>
      <c r="E12" s="37"/>
      <c r="J12" s="30"/>
      <c r="K12" s="80"/>
      <c r="L12" s="77"/>
    </row>
    <row r="13" spans="2:12" s="31" customFormat="1" ht="12.75" customHeight="1">
      <c r="B13" s="39"/>
      <c r="C13" s="40"/>
      <c r="D13" s="37"/>
      <c r="E13" s="37"/>
      <c r="J13" s="30"/>
      <c r="K13" s="30"/>
      <c r="L13" s="30"/>
    </row>
    <row r="14" spans="2:12" s="31" customFormat="1" ht="12.75" customHeight="1">
      <c r="B14" s="39"/>
      <c r="C14" s="40"/>
      <c r="D14" s="37"/>
      <c r="E14" s="37"/>
    </row>
    <row r="15" spans="2:12" s="31" customFormat="1" ht="12.75" customHeight="1">
      <c r="B15" s="39"/>
      <c r="C15" s="40"/>
      <c r="D15" s="37"/>
      <c r="E15" s="37"/>
    </row>
    <row r="16" spans="2:12" s="31" customFormat="1" ht="12.75" customHeight="1">
      <c r="B16" s="39"/>
      <c r="D16" s="37"/>
      <c r="E16" s="37"/>
      <c r="J16" s="30"/>
      <c r="K16" s="30"/>
      <c r="L16" s="30"/>
    </row>
    <row r="17" spans="2:12" s="31" customFormat="1" ht="12.75" customHeight="1">
      <c r="B17" s="39"/>
      <c r="D17" s="37"/>
      <c r="E17" s="37"/>
      <c r="J17" s="30"/>
      <c r="K17" s="30"/>
      <c r="L17" s="30"/>
    </row>
    <row r="18" spans="2:12" s="31" customFormat="1" ht="12.75" customHeight="1">
      <c r="B18" s="39"/>
      <c r="D18" s="37"/>
      <c r="E18" s="37"/>
      <c r="F18" s="144"/>
      <c r="J18" s="30"/>
      <c r="K18" s="30"/>
      <c r="L18" s="30"/>
    </row>
    <row r="19" spans="2:12" s="31" customFormat="1" ht="12.75" customHeight="1">
      <c r="B19" s="39"/>
      <c r="C19" s="40"/>
      <c r="D19" s="37"/>
      <c r="E19" s="37"/>
      <c r="J19" s="30"/>
      <c r="K19" s="30"/>
      <c r="L19" s="30"/>
    </row>
    <row r="20" spans="2:12" s="31" customFormat="1" ht="12.75" customHeight="1">
      <c r="B20" s="39"/>
      <c r="C20" s="38"/>
      <c r="D20" s="37"/>
      <c r="E20" s="37"/>
      <c r="J20" s="30"/>
      <c r="K20" s="30"/>
      <c r="L20" s="30"/>
    </row>
    <row r="21" spans="2:12" s="31" customFormat="1" ht="12.75" customHeight="1">
      <c r="B21" s="39"/>
      <c r="C21" s="38"/>
      <c r="D21" s="37"/>
      <c r="E21" s="37"/>
      <c r="J21" s="157"/>
      <c r="K21" s="30"/>
    </row>
    <row r="22" spans="2:12" s="31" customFormat="1" ht="12.75" customHeight="1">
      <c r="B22" s="39"/>
      <c r="C22" s="38"/>
      <c r="D22" s="37"/>
      <c r="E22" s="37"/>
      <c r="J22" s="30"/>
      <c r="K22" s="30"/>
    </row>
    <row r="23" spans="2:12">
      <c r="E23" s="36"/>
      <c r="J23" s="31"/>
      <c r="K23" s="31"/>
    </row>
    <row r="24" spans="2:12">
      <c r="C24" s="201" t="s">
        <v>128</v>
      </c>
      <c r="E24" s="35"/>
      <c r="J24" s="31"/>
      <c r="K24" s="31"/>
    </row>
    <row r="25" spans="2:12">
      <c r="C25" s="201"/>
      <c r="E25" s="34"/>
      <c r="J25" s="30"/>
      <c r="K25" s="30"/>
    </row>
    <row r="26" spans="2:12" ht="12.75" customHeight="1">
      <c r="J26" s="78"/>
      <c r="K26" s="79"/>
    </row>
    <row r="27" spans="2:12">
      <c r="J27" s="80"/>
      <c r="K27" s="77"/>
    </row>
    <row r="28" spans="2:12">
      <c r="C28" s="33"/>
      <c r="J28" s="80"/>
      <c r="K28" s="77"/>
    </row>
    <row r="29" spans="2:12">
      <c r="C29" s="32"/>
      <c r="J29" s="80"/>
      <c r="K29" s="77"/>
    </row>
    <row r="30" spans="2:12">
      <c r="J30" s="30"/>
      <c r="K30" s="30"/>
    </row>
    <row r="31" spans="2:12" ht="12.75" customHeight="1">
      <c r="J31" s="31"/>
      <c r="K31" s="31"/>
    </row>
    <row r="32" spans="2:12">
      <c r="J32" s="31"/>
      <c r="K32" s="31"/>
    </row>
    <row r="33" spans="10:11">
      <c r="J33" s="30"/>
      <c r="K33" s="30"/>
    </row>
    <row r="34" spans="10:11">
      <c r="J34" s="30"/>
      <c r="K34" s="30"/>
    </row>
    <row r="35" spans="10:11">
      <c r="J35" s="30"/>
      <c r="K35" s="30"/>
    </row>
    <row r="36" spans="10:11">
      <c r="J36" s="30"/>
      <c r="K36" s="30"/>
    </row>
    <row r="37" spans="10:11">
      <c r="J37" s="30"/>
      <c r="K37" s="30"/>
    </row>
  </sheetData>
  <mergeCells count="2">
    <mergeCell ref="C24:C25"/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8"/>
  <sheetViews>
    <sheetView showGridLines="0" showRowColHeaders="0" zoomScaleNormal="100" workbookViewId="0">
      <selection activeCell="C25" sqref="C25"/>
    </sheetView>
  </sheetViews>
  <sheetFormatPr baseColWidth="10" defaultRowHeight="15"/>
  <cols>
    <col min="1" max="1" width="0.28515625" style="47" customWidth="1"/>
    <col min="2" max="2" width="2.5703125" style="47" customWidth="1"/>
    <col min="3" max="3" width="23.5703125" style="47" customWidth="1"/>
    <col min="4" max="4" width="1.42578125" style="47" customWidth="1"/>
    <col min="5" max="5" width="105.5703125" style="47" customWidth="1"/>
    <col min="6" max="6" width="10.5703125" style="47" customWidth="1"/>
    <col min="7" max="7" width="21" style="47" bestFit="1" customWidth="1"/>
    <col min="8" max="244" width="11.42578125" style="47"/>
    <col min="245" max="245" width="0.28515625" style="47" customWidth="1"/>
    <col min="246" max="246" width="2.5703125" style="47" customWidth="1"/>
    <col min="247" max="247" width="18.5703125" style="47" customWidth="1"/>
    <col min="248" max="248" width="1.42578125" style="47" customWidth="1"/>
    <col min="249" max="249" width="30.5703125" style="47" customWidth="1"/>
    <col min="250" max="254" width="10.5703125" style="47" customWidth="1"/>
    <col min="255" max="500" width="11.42578125" style="47"/>
    <col min="501" max="501" width="0.28515625" style="47" customWidth="1"/>
    <col min="502" max="502" width="2.5703125" style="47" customWidth="1"/>
    <col min="503" max="503" width="18.5703125" style="47" customWidth="1"/>
    <col min="504" max="504" width="1.42578125" style="47" customWidth="1"/>
    <col min="505" max="505" width="30.5703125" style="47" customWidth="1"/>
    <col min="506" max="510" width="10.5703125" style="47" customWidth="1"/>
    <col min="511" max="756" width="11.42578125" style="47"/>
    <col min="757" max="757" width="0.28515625" style="47" customWidth="1"/>
    <col min="758" max="758" width="2.5703125" style="47" customWidth="1"/>
    <col min="759" max="759" width="18.5703125" style="47" customWidth="1"/>
    <col min="760" max="760" width="1.42578125" style="47" customWidth="1"/>
    <col min="761" max="761" width="30.5703125" style="47" customWidth="1"/>
    <col min="762" max="766" width="10.5703125" style="47" customWidth="1"/>
    <col min="767" max="1012" width="11.42578125" style="47"/>
    <col min="1013" max="1013" width="0.28515625" style="47" customWidth="1"/>
    <col min="1014" max="1014" width="2.5703125" style="47" customWidth="1"/>
    <col min="1015" max="1015" width="18.5703125" style="47" customWidth="1"/>
    <col min="1016" max="1016" width="1.42578125" style="47" customWidth="1"/>
    <col min="1017" max="1017" width="30.5703125" style="47" customWidth="1"/>
    <col min="1018" max="1022" width="10.5703125" style="47" customWidth="1"/>
    <col min="1023" max="1268" width="11.42578125" style="47"/>
    <col min="1269" max="1269" width="0.28515625" style="47" customWidth="1"/>
    <col min="1270" max="1270" width="2.5703125" style="47" customWidth="1"/>
    <col min="1271" max="1271" width="18.5703125" style="47" customWidth="1"/>
    <col min="1272" max="1272" width="1.42578125" style="47" customWidth="1"/>
    <col min="1273" max="1273" width="30.5703125" style="47" customWidth="1"/>
    <col min="1274" max="1278" width="10.5703125" style="47" customWidth="1"/>
    <col min="1279" max="1524" width="11.42578125" style="47"/>
    <col min="1525" max="1525" width="0.28515625" style="47" customWidth="1"/>
    <col min="1526" max="1526" width="2.5703125" style="47" customWidth="1"/>
    <col min="1527" max="1527" width="18.5703125" style="47" customWidth="1"/>
    <col min="1528" max="1528" width="1.42578125" style="47" customWidth="1"/>
    <col min="1529" max="1529" width="30.5703125" style="47" customWidth="1"/>
    <col min="1530" max="1534" width="10.5703125" style="47" customWidth="1"/>
    <col min="1535" max="1780" width="11.42578125" style="47"/>
    <col min="1781" max="1781" width="0.28515625" style="47" customWidth="1"/>
    <col min="1782" max="1782" width="2.5703125" style="47" customWidth="1"/>
    <col min="1783" max="1783" width="18.5703125" style="47" customWidth="1"/>
    <col min="1784" max="1784" width="1.42578125" style="47" customWidth="1"/>
    <col min="1785" max="1785" width="30.5703125" style="47" customWidth="1"/>
    <col min="1786" max="1790" width="10.5703125" style="47" customWidth="1"/>
    <col min="1791" max="2036" width="11.42578125" style="47"/>
    <col min="2037" max="2037" width="0.28515625" style="47" customWidth="1"/>
    <col min="2038" max="2038" width="2.5703125" style="47" customWidth="1"/>
    <col min="2039" max="2039" width="18.5703125" style="47" customWidth="1"/>
    <col min="2040" max="2040" width="1.42578125" style="47" customWidth="1"/>
    <col min="2041" max="2041" width="30.5703125" style="47" customWidth="1"/>
    <col min="2042" max="2046" width="10.5703125" style="47" customWidth="1"/>
    <col min="2047" max="2292" width="11.42578125" style="47"/>
    <col min="2293" max="2293" width="0.28515625" style="47" customWidth="1"/>
    <col min="2294" max="2294" width="2.5703125" style="47" customWidth="1"/>
    <col min="2295" max="2295" width="18.5703125" style="47" customWidth="1"/>
    <col min="2296" max="2296" width="1.42578125" style="47" customWidth="1"/>
    <col min="2297" max="2297" width="30.5703125" style="47" customWidth="1"/>
    <col min="2298" max="2302" width="10.5703125" style="47" customWidth="1"/>
    <col min="2303" max="2548" width="11.42578125" style="47"/>
    <col min="2549" max="2549" width="0.28515625" style="47" customWidth="1"/>
    <col min="2550" max="2550" width="2.5703125" style="47" customWidth="1"/>
    <col min="2551" max="2551" width="18.5703125" style="47" customWidth="1"/>
    <col min="2552" max="2552" width="1.42578125" style="47" customWidth="1"/>
    <col min="2553" max="2553" width="30.5703125" style="47" customWidth="1"/>
    <col min="2554" max="2558" width="10.5703125" style="47" customWidth="1"/>
    <col min="2559" max="2804" width="11.42578125" style="47"/>
    <col min="2805" max="2805" width="0.28515625" style="47" customWidth="1"/>
    <col min="2806" max="2806" width="2.5703125" style="47" customWidth="1"/>
    <col min="2807" max="2807" width="18.5703125" style="47" customWidth="1"/>
    <col min="2808" max="2808" width="1.42578125" style="47" customWidth="1"/>
    <col min="2809" max="2809" width="30.5703125" style="47" customWidth="1"/>
    <col min="2810" max="2814" width="10.5703125" style="47" customWidth="1"/>
    <col min="2815" max="3060" width="11.42578125" style="47"/>
    <col min="3061" max="3061" width="0.28515625" style="47" customWidth="1"/>
    <col min="3062" max="3062" width="2.5703125" style="47" customWidth="1"/>
    <col min="3063" max="3063" width="18.5703125" style="47" customWidth="1"/>
    <col min="3064" max="3064" width="1.42578125" style="47" customWidth="1"/>
    <col min="3065" max="3065" width="30.5703125" style="47" customWidth="1"/>
    <col min="3066" max="3070" width="10.5703125" style="47" customWidth="1"/>
    <col min="3071" max="3316" width="11.42578125" style="47"/>
    <col min="3317" max="3317" width="0.28515625" style="47" customWidth="1"/>
    <col min="3318" max="3318" width="2.5703125" style="47" customWidth="1"/>
    <col min="3319" max="3319" width="18.5703125" style="47" customWidth="1"/>
    <col min="3320" max="3320" width="1.42578125" style="47" customWidth="1"/>
    <col min="3321" max="3321" width="30.5703125" style="47" customWidth="1"/>
    <col min="3322" max="3326" width="10.5703125" style="47" customWidth="1"/>
    <col min="3327" max="3572" width="11.42578125" style="47"/>
    <col min="3573" max="3573" width="0.28515625" style="47" customWidth="1"/>
    <col min="3574" max="3574" width="2.5703125" style="47" customWidth="1"/>
    <col min="3575" max="3575" width="18.5703125" style="47" customWidth="1"/>
    <col min="3576" max="3576" width="1.42578125" style="47" customWidth="1"/>
    <col min="3577" max="3577" width="30.5703125" style="47" customWidth="1"/>
    <col min="3578" max="3582" width="10.5703125" style="47" customWidth="1"/>
    <col min="3583" max="3828" width="11.42578125" style="47"/>
    <col min="3829" max="3829" width="0.28515625" style="47" customWidth="1"/>
    <col min="3830" max="3830" width="2.5703125" style="47" customWidth="1"/>
    <col min="3831" max="3831" width="18.5703125" style="47" customWidth="1"/>
    <col min="3832" max="3832" width="1.42578125" style="47" customWidth="1"/>
    <col min="3833" max="3833" width="30.5703125" style="47" customWidth="1"/>
    <col min="3834" max="3838" width="10.5703125" style="47" customWidth="1"/>
    <col min="3839" max="4084" width="11.42578125" style="47"/>
    <col min="4085" max="4085" width="0.28515625" style="47" customWidth="1"/>
    <col min="4086" max="4086" width="2.5703125" style="47" customWidth="1"/>
    <col min="4087" max="4087" width="18.5703125" style="47" customWidth="1"/>
    <col min="4088" max="4088" width="1.42578125" style="47" customWidth="1"/>
    <col min="4089" max="4089" width="30.5703125" style="47" customWidth="1"/>
    <col min="4090" max="4094" width="10.5703125" style="47" customWidth="1"/>
    <col min="4095" max="4340" width="11.42578125" style="47"/>
    <col min="4341" max="4341" width="0.28515625" style="47" customWidth="1"/>
    <col min="4342" max="4342" width="2.5703125" style="47" customWidth="1"/>
    <col min="4343" max="4343" width="18.5703125" style="47" customWidth="1"/>
    <col min="4344" max="4344" width="1.42578125" style="47" customWidth="1"/>
    <col min="4345" max="4345" width="30.5703125" style="47" customWidth="1"/>
    <col min="4346" max="4350" width="10.5703125" style="47" customWidth="1"/>
    <col min="4351" max="4596" width="11.42578125" style="47"/>
    <col min="4597" max="4597" width="0.28515625" style="47" customWidth="1"/>
    <col min="4598" max="4598" width="2.5703125" style="47" customWidth="1"/>
    <col min="4599" max="4599" width="18.5703125" style="47" customWidth="1"/>
    <col min="4600" max="4600" width="1.42578125" style="47" customWidth="1"/>
    <col min="4601" max="4601" width="30.5703125" style="47" customWidth="1"/>
    <col min="4602" max="4606" width="10.5703125" style="47" customWidth="1"/>
    <col min="4607" max="4852" width="11.42578125" style="47"/>
    <col min="4853" max="4853" width="0.28515625" style="47" customWidth="1"/>
    <col min="4854" max="4854" width="2.5703125" style="47" customWidth="1"/>
    <col min="4855" max="4855" width="18.5703125" style="47" customWidth="1"/>
    <col min="4856" max="4856" width="1.42578125" style="47" customWidth="1"/>
    <col min="4857" max="4857" width="30.5703125" style="47" customWidth="1"/>
    <col min="4858" max="4862" width="10.5703125" style="47" customWidth="1"/>
    <col min="4863" max="5108" width="11.42578125" style="47"/>
    <col min="5109" max="5109" width="0.28515625" style="47" customWidth="1"/>
    <col min="5110" max="5110" width="2.5703125" style="47" customWidth="1"/>
    <col min="5111" max="5111" width="18.5703125" style="47" customWidth="1"/>
    <col min="5112" max="5112" width="1.42578125" style="47" customWidth="1"/>
    <col min="5113" max="5113" width="30.5703125" style="47" customWidth="1"/>
    <col min="5114" max="5118" width="10.5703125" style="47" customWidth="1"/>
    <col min="5119" max="5364" width="11.42578125" style="47"/>
    <col min="5365" max="5365" width="0.28515625" style="47" customWidth="1"/>
    <col min="5366" max="5366" width="2.5703125" style="47" customWidth="1"/>
    <col min="5367" max="5367" width="18.5703125" style="47" customWidth="1"/>
    <col min="5368" max="5368" width="1.42578125" style="47" customWidth="1"/>
    <col min="5369" max="5369" width="30.5703125" style="47" customWidth="1"/>
    <col min="5370" max="5374" width="10.5703125" style="47" customWidth="1"/>
    <col min="5375" max="5620" width="11.42578125" style="47"/>
    <col min="5621" max="5621" width="0.28515625" style="47" customWidth="1"/>
    <col min="5622" max="5622" width="2.5703125" style="47" customWidth="1"/>
    <col min="5623" max="5623" width="18.5703125" style="47" customWidth="1"/>
    <col min="5624" max="5624" width="1.42578125" style="47" customWidth="1"/>
    <col min="5625" max="5625" width="30.5703125" style="47" customWidth="1"/>
    <col min="5626" max="5630" width="10.5703125" style="47" customWidth="1"/>
    <col min="5631" max="5876" width="11.42578125" style="47"/>
    <col min="5877" max="5877" width="0.28515625" style="47" customWidth="1"/>
    <col min="5878" max="5878" width="2.5703125" style="47" customWidth="1"/>
    <col min="5879" max="5879" width="18.5703125" style="47" customWidth="1"/>
    <col min="5880" max="5880" width="1.42578125" style="47" customWidth="1"/>
    <col min="5881" max="5881" width="30.5703125" style="47" customWidth="1"/>
    <col min="5882" max="5886" width="10.5703125" style="47" customWidth="1"/>
    <col min="5887" max="6132" width="11.42578125" style="47"/>
    <col min="6133" max="6133" width="0.28515625" style="47" customWidth="1"/>
    <col min="6134" max="6134" width="2.5703125" style="47" customWidth="1"/>
    <col min="6135" max="6135" width="18.5703125" style="47" customWidth="1"/>
    <col min="6136" max="6136" width="1.42578125" style="47" customWidth="1"/>
    <col min="6137" max="6137" width="30.5703125" style="47" customWidth="1"/>
    <col min="6138" max="6142" width="10.5703125" style="47" customWidth="1"/>
    <col min="6143" max="6388" width="11.42578125" style="47"/>
    <col min="6389" max="6389" width="0.28515625" style="47" customWidth="1"/>
    <col min="6390" max="6390" width="2.5703125" style="47" customWidth="1"/>
    <col min="6391" max="6391" width="18.5703125" style="47" customWidth="1"/>
    <col min="6392" max="6392" width="1.42578125" style="47" customWidth="1"/>
    <col min="6393" max="6393" width="30.5703125" style="47" customWidth="1"/>
    <col min="6394" max="6398" width="10.5703125" style="47" customWidth="1"/>
    <col min="6399" max="6644" width="11.42578125" style="47"/>
    <col min="6645" max="6645" width="0.28515625" style="47" customWidth="1"/>
    <col min="6646" max="6646" width="2.5703125" style="47" customWidth="1"/>
    <col min="6647" max="6647" width="18.5703125" style="47" customWidth="1"/>
    <col min="6648" max="6648" width="1.42578125" style="47" customWidth="1"/>
    <col min="6649" max="6649" width="30.5703125" style="47" customWidth="1"/>
    <col min="6650" max="6654" width="10.5703125" style="47" customWidth="1"/>
    <col min="6655" max="6900" width="11.42578125" style="47"/>
    <col min="6901" max="6901" width="0.28515625" style="47" customWidth="1"/>
    <col min="6902" max="6902" width="2.5703125" style="47" customWidth="1"/>
    <col min="6903" max="6903" width="18.5703125" style="47" customWidth="1"/>
    <col min="6904" max="6904" width="1.42578125" style="47" customWidth="1"/>
    <col min="6905" max="6905" width="30.5703125" style="47" customWidth="1"/>
    <col min="6906" max="6910" width="10.5703125" style="47" customWidth="1"/>
    <col min="6911" max="7156" width="11.42578125" style="47"/>
    <col min="7157" max="7157" width="0.28515625" style="47" customWidth="1"/>
    <col min="7158" max="7158" width="2.5703125" style="47" customWidth="1"/>
    <col min="7159" max="7159" width="18.5703125" style="47" customWidth="1"/>
    <col min="7160" max="7160" width="1.42578125" style="47" customWidth="1"/>
    <col min="7161" max="7161" width="30.5703125" style="47" customWidth="1"/>
    <col min="7162" max="7166" width="10.5703125" style="47" customWidth="1"/>
    <col min="7167" max="7412" width="11.42578125" style="47"/>
    <col min="7413" max="7413" width="0.28515625" style="47" customWidth="1"/>
    <col min="7414" max="7414" width="2.5703125" style="47" customWidth="1"/>
    <col min="7415" max="7415" width="18.5703125" style="47" customWidth="1"/>
    <col min="7416" max="7416" width="1.42578125" style="47" customWidth="1"/>
    <col min="7417" max="7417" width="30.5703125" style="47" customWidth="1"/>
    <col min="7418" max="7422" width="10.5703125" style="47" customWidth="1"/>
    <col min="7423" max="7668" width="11.42578125" style="47"/>
    <col min="7669" max="7669" width="0.28515625" style="47" customWidth="1"/>
    <col min="7670" max="7670" width="2.5703125" style="47" customWidth="1"/>
    <col min="7671" max="7671" width="18.5703125" style="47" customWidth="1"/>
    <col min="7672" max="7672" width="1.42578125" style="47" customWidth="1"/>
    <col min="7673" max="7673" width="30.5703125" style="47" customWidth="1"/>
    <col min="7674" max="7678" width="10.5703125" style="47" customWidth="1"/>
    <col min="7679" max="7924" width="11.42578125" style="47"/>
    <col min="7925" max="7925" width="0.28515625" style="47" customWidth="1"/>
    <col min="7926" max="7926" width="2.5703125" style="47" customWidth="1"/>
    <col min="7927" max="7927" width="18.5703125" style="47" customWidth="1"/>
    <col min="7928" max="7928" width="1.42578125" style="47" customWidth="1"/>
    <col min="7929" max="7929" width="30.5703125" style="47" customWidth="1"/>
    <col min="7930" max="7934" width="10.5703125" style="47" customWidth="1"/>
    <col min="7935" max="8180" width="11.42578125" style="47"/>
    <col min="8181" max="8181" width="0.28515625" style="47" customWidth="1"/>
    <col min="8182" max="8182" width="2.5703125" style="47" customWidth="1"/>
    <col min="8183" max="8183" width="18.5703125" style="47" customWidth="1"/>
    <col min="8184" max="8184" width="1.42578125" style="47" customWidth="1"/>
    <col min="8185" max="8185" width="30.5703125" style="47" customWidth="1"/>
    <col min="8186" max="8190" width="10.5703125" style="47" customWidth="1"/>
    <col min="8191" max="8436" width="11.42578125" style="47"/>
    <col min="8437" max="8437" width="0.28515625" style="47" customWidth="1"/>
    <col min="8438" max="8438" width="2.5703125" style="47" customWidth="1"/>
    <col min="8439" max="8439" width="18.5703125" style="47" customWidth="1"/>
    <col min="8440" max="8440" width="1.42578125" style="47" customWidth="1"/>
    <col min="8441" max="8441" width="30.5703125" style="47" customWidth="1"/>
    <col min="8442" max="8446" width="10.5703125" style="47" customWidth="1"/>
    <col min="8447" max="8692" width="11.42578125" style="47"/>
    <col min="8693" max="8693" width="0.28515625" style="47" customWidth="1"/>
    <col min="8694" max="8694" width="2.5703125" style="47" customWidth="1"/>
    <col min="8695" max="8695" width="18.5703125" style="47" customWidth="1"/>
    <col min="8696" max="8696" width="1.42578125" style="47" customWidth="1"/>
    <col min="8697" max="8697" width="30.5703125" style="47" customWidth="1"/>
    <col min="8698" max="8702" width="10.5703125" style="47" customWidth="1"/>
    <col min="8703" max="8948" width="11.42578125" style="47"/>
    <col min="8949" max="8949" width="0.28515625" style="47" customWidth="1"/>
    <col min="8950" max="8950" width="2.5703125" style="47" customWidth="1"/>
    <col min="8951" max="8951" width="18.5703125" style="47" customWidth="1"/>
    <col min="8952" max="8952" width="1.42578125" style="47" customWidth="1"/>
    <col min="8953" max="8953" width="30.5703125" style="47" customWidth="1"/>
    <col min="8954" max="8958" width="10.5703125" style="47" customWidth="1"/>
    <col min="8959" max="9204" width="11.42578125" style="47"/>
    <col min="9205" max="9205" width="0.28515625" style="47" customWidth="1"/>
    <col min="9206" max="9206" width="2.5703125" style="47" customWidth="1"/>
    <col min="9207" max="9207" width="18.5703125" style="47" customWidth="1"/>
    <col min="9208" max="9208" width="1.42578125" style="47" customWidth="1"/>
    <col min="9209" max="9209" width="30.5703125" style="47" customWidth="1"/>
    <col min="9210" max="9214" width="10.5703125" style="47" customWidth="1"/>
    <col min="9215" max="9460" width="11.42578125" style="47"/>
    <col min="9461" max="9461" width="0.28515625" style="47" customWidth="1"/>
    <col min="9462" max="9462" width="2.5703125" style="47" customWidth="1"/>
    <col min="9463" max="9463" width="18.5703125" style="47" customWidth="1"/>
    <col min="9464" max="9464" width="1.42578125" style="47" customWidth="1"/>
    <col min="9465" max="9465" width="30.5703125" style="47" customWidth="1"/>
    <col min="9466" max="9470" width="10.5703125" style="47" customWidth="1"/>
    <col min="9471" max="9716" width="11.42578125" style="47"/>
    <col min="9717" max="9717" width="0.28515625" style="47" customWidth="1"/>
    <col min="9718" max="9718" width="2.5703125" style="47" customWidth="1"/>
    <col min="9719" max="9719" width="18.5703125" style="47" customWidth="1"/>
    <col min="9720" max="9720" width="1.42578125" style="47" customWidth="1"/>
    <col min="9721" max="9721" width="30.5703125" style="47" customWidth="1"/>
    <col min="9722" max="9726" width="10.5703125" style="47" customWidth="1"/>
    <col min="9727" max="9972" width="11.42578125" style="47"/>
    <col min="9973" max="9973" width="0.28515625" style="47" customWidth="1"/>
    <col min="9974" max="9974" width="2.5703125" style="47" customWidth="1"/>
    <col min="9975" max="9975" width="18.5703125" style="47" customWidth="1"/>
    <col min="9976" max="9976" width="1.42578125" style="47" customWidth="1"/>
    <col min="9977" max="9977" width="30.5703125" style="47" customWidth="1"/>
    <col min="9978" max="9982" width="10.5703125" style="47" customWidth="1"/>
    <col min="9983" max="10228" width="11.42578125" style="47"/>
    <col min="10229" max="10229" width="0.28515625" style="47" customWidth="1"/>
    <col min="10230" max="10230" width="2.5703125" style="47" customWidth="1"/>
    <col min="10231" max="10231" width="18.5703125" style="47" customWidth="1"/>
    <col min="10232" max="10232" width="1.42578125" style="47" customWidth="1"/>
    <col min="10233" max="10233" width="30.5703125" style="47" customWidth="1"/>
    <col min="10234" max="10238" width="10.5703125" style="47" customWidth="1"/>
    <col min="10239" max="10484" width="11.42578125" style="47"/>
    <col min="10485" max="10485" width="0.28515625" style="47" customWidth="1"/>
    <col min="10486" max="10486" width="2.5703125" style="47" customWidth="1"/>
    <col min="10487" max="10487" width="18.5703125" style="47" customWidth="1"/>
    <col min="10488" max="10488" width="1.42578125" style="47" customWidth="1"/>
    <col min="10489" max="10489" width="30.5703125" style="47" customWidth="1"/>
    <col min="10490" max="10494" width="10.5703125" style="47" customWidth="1"/>
    <col min="10495" max="10740" width="11.42578125" style="47"/>
    <col min="10741" max="10741" width="0.28515625" style="47" customWidth="1"/>
    <col min="10742" max="10742" width="2.5703125" style="47" customWidth="1"/>
    <col min="10743" max="10743" width="18.5703125" style="47" customWidth="1"/>
    <col min="10744" max="10744" width="1.42578125" style="47" customWidth="1"/>
    <col min="10745" max="10745" width="30.5703125" style="47" customWidth="1"/>
    <col min="10746" max="10750" width="10.5703125" style="47" customWidth="1"/>
    <col min="10751" max="10996" width="11.42578125" style="47"/>
    <col min="10997" max="10997" width="0.28515625" style="47" customWidth="1"/>
    <col min="10998" max="10998" width="2.5703125" style="47" customWidth="1"/>
    <col min="10999" max="10999" width="18.5703125" style="47" customWidth="1"/>
    <col min="11000" max="11000" width="1.42578125" style="47" customWidth="1"/>
    <col min="11001" max="11001" width="30.5703125" style="47" customWidth="1"/>
    <col min="11002" max="11006" width="10.5703125" style="47" customWidth="1"/>
    <col min="11007" max="11252" width="11.42578125" style="47"/>
    <col min="11253" max="11253" width="0.28515625" style="47" customWidth="1"/>
    <col min="11254" max="11254" width="2.5703125" style="47" customWidth="1"/>
    <col min="11255" max="11255" width="18.5703125" style="47" customWidth="1"/>
    <col min="11256" max="11256" width="1.42578125" style="47" customWidth="1"/>
    <col min="11257" max="11257" width="30.5703125" style="47" customWidth="1"/>
    <col min="11258" max="11262" width="10.5703125" style="47" customWidth="1"/>
    <col min="11263" max="11508" width="11.42578125" style="47"/>
    <col min="11509" max="11509" width="0.28515625" style="47" customWidth="1"/>
    <col min="11510" max="11510" width="2.5703125" style="47" customWidth="1"/>
    <col min="11511" max="11511" width="18.5703125" style="47" customWidth="1"/>
    <col min="11512" max="11512" width="1.42578125" style="47" customWidth="1"/>
    <col min="11513" max="11513" width="30.5703125" style="47" customWidth="1"/>
    <col min="11514" max="11518" width="10.5703125" style="47" customWidth="1"/>
    <col min="11519" max="11764" width="11.42578125" style="47"/>
    <col min="11765" max="11765" width="0.28515625" style="47" customWidth="1"/>
    <col min="11766" max="11766" width="2.5703125" style="47" customWidth="1"/>
    <col min="11767" max="11767" width="18.5703125" style="47" customWidth="1"/>
    <col min="11768" max="11768" width="1.42578125" style="47" customWidth="1"/>
    <col min="11769" max="11769" width="30.5703125" style="47" customWidth="1"/>
    <col min="11770" max="11774" width="10.5703125" style="47" customWidth="1"/>
    <col min="11775" max="12020" width="11.42578125" style="47"/>
    <col min="12021" max="12021" width="0.28515625" style="47" customWidth="1"/>
    <col min="12022" max="12022" width="2.5703125" style="47" customWidth="1"/>
    <col min="12023" max="12023" width="18.5703125" style="47" customWidth="1"/>
    <col min="12024" max="12024" width="1.42578125" style="47" customWidth="1"/>
    <col min="12025" max="12025" width="30.5703125" style="47" customWidth="1"/>
    <col min="12026" max="12030" width="10.5703125" style="47" customWidth="1"/>
    <col min="12031" max="12276" width="11.42578125" style="47"/>
    <col min="12277" max="12277" width="0.28515625" style="47" customWidth="1"/>
    <col min="12278" max="12278" width="2.5703125" style="47" customWidth="1"/>
    <col min="12279" max="12279" width="18.5703125" style="47" customWidth="1"/>
    <col min="12280" max="12280" width="1.42578125" style="47" customWidth="1"/>
    <col min="12281" max="12281" width="30.5703125" style="47" customWidth="1"/>
    <col min="12282" max="12286" width="10.5703125" style="47" customWidth="1"/>
    <col min="12287" max="12532" width="11.42578125" style="47"/>
    <col min="12533" max="12533" width="0.28515625" style="47" customWidth="1"/>
    <col min="12534" max="12534" width="2.5703125" style="47" customWidth="1"/>
    <col min="12535" max="12535" width="18.5703125" style="47" customWidth="1"/>
    <col min="12536" max="12536" width="1.42578125" style="47" customWidth="1"/>
    <col min="12537" max="12537" width="30.5703125" style="47" customWidth="1"/>
    <col min="12538" max="12542" width="10.5703125" style="47" customWidth="1"/>
    <col min="12543" max="12788" width="11.42578125" style="47"/>
    <col min="12789" max="12789" width="0.28515625" style="47" customWidth="1"/>
    <col min="12790" max="12790" width="2.5703125" style="47" customWidth="1"/>
    <col min="12791" max="12791" width="18.5703125" style="47" customWidth="1"/>
    <col min="12792" max="12792" width="1.42578125" style="47" customWidth="1"/>
    <col min="12793" max="12793" width="30.5703125" style="47" customWidth="1"/>
    <col min="12794" max="12798" width="10.5703125" style="47" customWidth="1"/>
    <col min="12799" max="13044" width="11.42578125" style="47"/>
    <col min="13045" max="13045" width="0.28515625" style="47" customWidth="1"/>
    <col min="13046" max="13046" width="2.5703125" style="47" customWidth="1"/>
    <col min="13047" max="13047" width="18.5703125" style="47" customWidth="1"/>
    <col min="13048" max="13048" width="1.42578125" style="47" customWidth="1"/>
    <col min="13049" max="13049" width="30.5703125" style="47" customWidth="1"/>
    <col min="13050" max="13054" width="10.5703125" style="47" customWidth="1"/>
    <col min="13055" max="13300" width="11.42578125" style="47"/>
    <col min="13301" max="13301" width="0.28515625" style="47" customWidth="1"/>
    <col min="13302" max="13302" width="2.5703125" style="47" customWidth="1"/>
    <col min="13303" max="13303" width="18.5703125" style="47" customWidth="1"/>
    <col min="13304" max="13304" width="1.42578125" style="47" customWidth="1"/>
    <col min="13305" max="13305" width="30.5703125" style="47" customWidth="1"/>
    <col min="13306" max="13310" width="10.5703125" style="47" customWidth="1"/>
    <col min="13311" max="13556" width="11.42578125" style="47"/>
    <col min="13557" max="13557" width="0.28515625" style="47" customWidth="1"/>
    <col min="13558" max="13558" width="2.5703125" style="47" customWidth="1"/>
    <col min="13559" max="13559" width="18.5703125" style="47" customWidth="1"/>
    <col min="13560" max="13560" width="1.42578125" style="47" customWidth="1"/>
    <col min="13561" max="13561" width="30.5703125" style="47" customWidth="1"/>
    <col min="13562" max="13566" width="10.5703125" style="47" customWidth="1"/>
    <col min="13567" max="13812" width="11.42578125" style="47"/>
    <col min="13813" max="13813" width="0.28515625" style="47" customWidth="1"/>
    <col min="13814" max="13814" width="2.5703125" style="47" customWidth="1"/>
    <col min="13815" max="13815" width="18.5703125" style="47" customWidth="1"/>
    <col min="13816" max="13816" width="1.42578125" style="47" customWidth="1"/>
    <col min="13817" max="13817" width="30.5703125" style="47" customWidth="1"/>
    <col min="13818" max="13822" width="10.5703125" style="47" customWidth="1"/>
    <col min="13823" max="14068" width="11.42578125" style="47"/>
    <col min="14069" max="14069" width="0.28515625" style="47" customWidth="1"/>
    <col min="14070" max="14070" width="2.5703125" style="47" customWidth="1"/>
    <col min="14071" max="14071" width="18.5703125" style="47" customWidth="1"/>
    <col min="14072" max="14072" width="1.42578125" style="47" customWidth="1"/>
    <col min="14073" max="14073" width="30.5703125" style="47" customWidth="1"/>
    <col min="14074" max="14078" width="10.5703125" style="47" customWidth="1"/>
    <col min="14079" max="14324" width="11.42578125" style="47"/>
    <col min="14325" max="14325" width="0.28515625" style="47" customWidth="1"/>
    <col min="14326" max="14326" width="2.5703125" style="47" customWidth="1"/>
    <col min="14327" max="14327" width="18.5703125" style="47" customWidth="1"/>
    <col min="14328" max="14328" width="1.42578125" style="47" customWidth="1"/>
    <col min="14329" max="14329" width="30.5703125" style="47" customWidth="1"/>
    <col min="14330" max="14334" width="10.5703125" style="47" customWidth="1"/>
    <col min="14335" max="14580" width="11.42578125" style="47"/>
    <col min="14581" max="14581" width="0.28515625" style="47" customWidth="1"/>
    <col min="14582" max="14582" width="2.5703125" style="47" customWidth="1"/>
    <col min="14583" max="14583" width="18.5703125" style="47" customWidth="1"/>
    <col min="14584" max="14584" width="1.42578125" style="47" customWidth="1"/>
    <col min="14585" max="14585" width="30.5703125" style="47" customWidth="1"/>
    <col min="14586" max="14590" width="10.5703125" style="47" customWidth="1"/>
    <col min="14591" max="14836" width="11.42578125" style="47"/>
    <col min="14837" max="14837" width="0.28515625" style="47" customWidth="1"/>
    <col min="14838" max="14838" width="2.5703125" style="47" customWidth="1"/>
    <col min="14839" max="14839" width="18.5703125" style="47" customWidth="1"/>
    <col min="14840" max="14840" width="1.42578125" style="47" customWidth="1"/>
    <col min="14841" max="14841" width="30.5703125" style="47" customWidth="1"/>
    <col min="14842" max="14846" width="10.5703125" style="47" customWidth="1"/>
    <col min="14847" max="15092" width="11.42578125" style="47"/>
    <col min="15093" max="15093" width="0.28515625" style="47" customWidth="1"/>
    <col min="15094" max="15094" width="2.5703125" style="47" customWidth="1"/>
    <col min="15095" max="15095" width="18.5703125" style="47" customWidth="1"/>
    <col min="15096" max="15096" width="1.42578125" style="47" customWidth="1"/>
    <col min="15097" max="15097" width="30.5703125" style="47" customWidth="1"/>
    <col min="15098" max="15102" width="10.5703125" style="47" customWidth="1"/>
    <col min="15103" max="15348" width="11.42578125" style="47"/>
    <col min="15349" max="15349" width="0.28515625" style="47" customWidth="1"/>
    <col min="15350" max="15350" width="2.5703125" style="47" customWidth="1"/>
    <col min="15351" max="15351" width="18.5703125" style="47" customWidth="1"/>
    <col min="15352" max="15352" width="1.42578125" style="47" customWidth="1"/>
    <col min="15353" max="15353" width="30.5703125" style="47" customWidth="1"/>
    <col min="15354" max="15358" width="10.5703125" style="47" customWidth="1"/>
    <col min="15359" max="15604" width="11.42578125" style="47"/>
    <col min="15605" max="15605" width="0.28515625" style="47" customWidth="1"/>
    <col min="15606" max="15606" width="2.5703125" style="47" customWidth="1"/>
    <col min="15607" max="15607" width="18.5703125" style="47" customWidth="1"/>
    <col min="15608" max="15608" width="1.42578125" style="47" customWidth="1"/>
    <col min="15609" max="15609" width="30.5703125" style="47" customWidth="1"/>
    <col min="15610" max="15614" width="10.5703125" style="47" customWidth="1"/>
    <col min="15615" max="15860" width="11.42578125" style="47"/>
    <col min="15861" max="15861" width="0.28515625" style="47" customWidth="1"/>
    <col min="15862" max="15862" width="2.5703125" style="47" customWidth="1"/>
    <col min="15863" max="15863" width="18.5703125" style="47" customWidth="1"/>
    <col min="15864" max="15864" width="1.42578125" style="47" customWidth="1"/>
    <col min="15865" max="15865" width="30.5703125" style="47" customWidth="1"/>
    <col min="15866" max="15870" width="10.5703125" style="47" customWidth="1"/>
    <col min="15871" max="16116" width="11.42578125" style="47"/>
    <col min="16117" max="16117" width="0.28515625" style="47" customWidth="1"/>
    <col min="16118" max="16118" width="2.5703125" style="47" customWidth="1"/>
    <col min="16119" max="16119" width="18.5703125" style="47" customWidth="1"/>
    <col min="16120" max="16120" width="1.42578125" style="47" customWidth="1"/>
    <col min="16121" max="16121" width="30.5703125" style="47" customWidth="1"/>
    <col min="16122" max="16126" width="10.5703125" style="47" customWidth="1"/>
    <col min="16127" max="16384" width="11.42578125" style="47"/>
  </cols>
  <sheetData>
    <row r="1" spans="1:20" ht="0.75" customHeight="1"/>
    <row r="2" spans="1:20" ht="21" customHeight="1">
      <c r="E2" s="27" t="s">
        <v>19</v>
      </c>
      <c r="F2" s="63"/>
      <c r="G2" s="63"/>
    </row>
    <row r="3" spans="1:20" ht="15" customHeight="1">
      <c r="E3" s="43" t="str">
        <f>Indice!E3</f>
        <v>Enero 2025</v>
      </c>
      <c r="F3" s="62"/>
      <c r="G3" s="62"/>
    </row>
    <row r="4" spans="1:20" s="58" customFormat="1" ht="20.25" customHeight="1">
      <c r="B4" s="57"/>
      <c r="C4" s="25" t="s">
        <v>39</v>
      </c>
    </row>
    <row r="5" spans="1:20" s="58" customFormat="1" ht="12.75" customHeight="1">
      <c r="B5" s="57"/>
      <c r="C5" s="61"/>
    </row>
    <row r="6" spans="1:20" s="58" customFormat="1" ht="13.5" customHeight="1">
      <c r="B6" s="57"/>
      <c r="C6" s="56"/>
      <c r="D6" s="55"/>
      <c r="E6" s="55"/>
      <c r="G6" s="45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s="58" customFormat="1" ht="12.75" customHeight="1">
      <c r="B7" s="57"/>
      <c r="C7" s="202" t="s">
        <v>122</v>
      </c>
      <c r="D7" s="55"/>
      <c r="E7" s="59"/>
    </row>
    <row r="8" spans="1:20" ht="12.75" customHeight="1">
      <c r="A8" s="58"/>
      <c r="B8" s="57"/>
      <c r="C8" s="202"/>
      <c r="D8" s="55"/>
      <c r="E8" s="59"/>
      <c r="F8" s="54"/>
    </row>
    <row r="9" spans="1:20" ht="12.75" customHeight="1">
      <c r="A9" s="58"/>
      <c r="B9" s="57"/>
      <c r="C9" s="189"/>
      <c r="D9" s="55"/>
      <c r="E9" s="59"/>
      <c r="F9" s="54"/>
    </row>
    <row r="10" spans="1:20" ht="12.75" customHeight="1">
      <c r="A10" s="58"/>
      <c r="B10" s="57"/>
      <c r="C10" s="32"/>
      <c r="D10" s="55"/>
      <c r="E10" s="59"/>
      <c r="F10" s="54"/>
    </row>
    <row r="11" spans="1:20" ht="12.75" customHeight="1">
      <c r="A11" s="58"/>
      <c r="B11" s="57"/>
      <c r="D11" s="55"/>
      <c r="E11" s="55"/>
      <c r="F11" s="54"/>
    </row>
    <row r="12" spans="1:20" ht="12.75" customHeight="1">
      <c r="A12" s="58"/>
      <c r="B12" s="57"/>
      <c r="D12" s="55"/>
      <c r="E12" s="55"/>
      <c r="F12" s="54"/>
    </row>
    <row r="13" spans="1:20" ht="12.75" customHeight="1">
      <c r="A13" s="58"/>
      <c r="B13" s="57"/>
      <c r="C13" s="56"/>
      <c r="D13" s="55"/>
      <c r="E13" s="55"/>
      <c r="F13" s="54"/>
    </row>
    <row r="14" spans="1:20" ht="12.75" customHeight="1">
      <c r="A14" s="58"/>
      <c r="B14" s="57"/>
      <c r="C14" s="56"/>
      <c r="D14" s="55"/>
      <c r="E14" s="55"/>
      <c r="F14" s="54"/>
    </row>
    <row r="15" spans="1:20" ht="12.75" customHeight="1">
      <c r="A15" s="58"/>
      <c r="B15" s="57"/>
      <c r="C15" s="56"/>
      <c r="D15" s="55"/>
      <c r="E15" s="55"/>
      <c r="F15" s="54"/>
    </row>
    <row r="16" spans="1:20" ht="12.75" customHeight="1">
      <c r="A16" s="58"/>
      <c r="B16" s="57"/>
      <c r="C16" s="56"/>
      <c r="D16" s="55"/>
      <c r="E16" s="55"/>
      <c r="F16" s="54"/>
    </row>
    <row r="17" spans="1:7" ht="12.75" customHeight="1">
      <c r="A17" s="58"/>
      <c r="B17" s="57"/>
      <c r="C17" s="56"/>
      <c r="D17" s="55"/>
      <c r="E17" s="55"/>
      <c r="F17" s="54"/>
    </row>
    <row r="18" spans="1:7" ht="12.75" customHeight="1">
      <c r="A18" s="58"/>
      <c r="B18" s="57"/>
      <c r="C18" s="56"/>
      <c r="D18" s="55"/>
      <c r="E18" s="55"/>
      <c r="F18" s="142"/>
    </row>
    <row r="19" spans="1:7" ht="12.75" customHeight="1">
      <c r="A19" s="58"/>
      <c r="B19" s="57"/>
      <c r="C19" s="56"/>
      <c r="D19" s="55"/>
      <c r="E19" s="55"/>
      <c r="F19" s="54"/>
    </row>
    <row r="20" spans="1:7" ht="12.75" customHeight="1">
      <c r="A20" s="58"/>
      <c r="B20" s="57"/>
      <c r="C20" s="56"/>
      <c r="D20" s="55"/>
      <c r="E20" s="55"/>
      <c r="F20" s="54"/>
    </row>
    <row r="21" spans="1:7" ht="12.75" customHeight="1">
      <c r="A21" s="58"/>
      <c r="B21" s="57"/>
      <c r="C21" s="56"/>
      <c r="D21" s="55"/>
      <c r="E21" s="55"/>
      <c r="F21" s="54"/>
    </row>
    <row r="22" spans="1:7" ht="12.75" customHeight="1"/>
    <row r="23" spans="1:7" ht="12.75" customHeight="1"/>
    <row r="24" spans="1:7" ht="12.75" customHeight="1">
      <c r="E24" s="51"/>
      <c r="F24" s="51"/>
      <c r="G24" s="51"/>
    </row>
    <row r="25" spans="1:7" ht="12.75" customHeight="1">
      <c r="E25" s="48" t="s">
        <v>79</v>
      </c>
      <c r="F25" s="53"/>
      <c r="G25" s="53"/>
    </row>
    <row r="26" spans="1:7" ht="12.75" customHeight="1">
      <c r="E26" s="48" t="s">
        <v>44</v>
      </c>
      <c r="F26" s="53"/>
      <c r="G26" s="53"/>
    </row>
    <row r="27" spans="1:7" ht="12.75" customHeight="1">
      <c r="E27" s="52"/>
      <c r="F27" s="51"/>
      <c r="G27" s="51"/>
    </row>
    <row r="28" spans="1:7" ht="12.75" customHeight="1">
      <c r="F28" s="51"/>
      <c r="G28" s="51"/>
    </row>
    <row r="29" spans="1:7" ht="12.75" customHeight="1">
      <c r="F29" s="51"/>
      <c r="G29" s="51"/>
    </row>
    <row r="30" spans="1:7" ht="12.75" customHeight="1">
      <c r="E30" s="50"/>
    </row>
    <row r="31" spans="1:7" ht="12.75" customHeight="1"/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6" spans="5:5">
      <c r="E46" s="48"/>
    </row>
    <row r="47" spans="5:5">
      <c r="E47" s="49"/>
    </row>
    <row r="48" spans="5:5">
      <c r="E48" s="48"/>
    </row>
  </sheetData>
  <mergeCells count="1"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topLeftCell="A6" zoomScaleNormal="100" workbookViewId="0">
      <selection activeCell="K25" sqref="K25"/>
    </sheetView>
  </sheetViews>
  <sheetFormatPr baseColWidth="10" defaultRowHeight="12.75"/>
  <cols>
    <col min="1" max="1" width="0.28515625" style="29" customWidth="1"/>
    <col min="2" max="2" width="2.5703125" style="29" customWidth="1"/>
    <col min="3" max="3" width="23.5703125" style="29" customWidth="1"/>
    <col min="4" max="4" width="1.42578125" style="29" customWidth="1"/>
    <col min="5" max="5" width="58.7109375" style="29" customWidth="1"/>
    <col min="6" max="6" width="11.42578125" style="28"/>
    <col min="7" max="7" width="19.7109375" style="28" customWidth="1"/>
    <col min="8" max="9" width="11.42578125" style="28"/>
    <col min="10" max="10" width="11" style="28" bestFit="1" customWidth="1"/>
    <col min="11" max="253" width="11.42578125" style="28"/>
    <col min="254" max="254" width="0.28515625" style="28" customWidth="1"/>
    <col min="255" max="255" width="2.5703125" style="28" customWidth="1"/>
    <col min="256" max="256" width="18.5703125" style="28" customWidth="1"/>
    <col min="257" max="257" width="1.42578125" style="28" customWidth="1"/>
    <col min="258" max="258" width="58.7109375" style="28" customWidth="1"/>
    <col min="259" max="260" width="11.42578125" style="28"/>
    <col min="261" max="261" width="2.28515625" style="28" customWidth="1"/>
    <col min="262" max="262" width="11.42578125" style="28"/>
    <col min="263" max="263" width="9.5703125" style="28" customWidth="1"/>
    <col min="264" max="509" width="11.42578125" style="28"/>
    <col min="510" max="510" width="0.28515625" style="28" customWidth="1"/>
    <col min="511" max="511" width="2.5703125" style="28" customWidth="1"/>
    <col min="512" max="512" width="18.5703125" style="28" customWidth="1"/>
    <col min="513" max="513" width="1.42578125" style="28" customWidth="1"/>
    <col min="514" max="514" width="58.7109375" style="28" customWidth="1"/>
    <col min="515" max="516" width="11.42578125" style="28"/>
    <col min="517" max="517" width="2.28515625" style="28" customWidth="1"/>
    <col min="518" max="518" width="11.42578125" style="28"/>
    <col min="519" max="519" width="9.5703125" style="28" customWidth="1"/>
    <col min="520" max="765" width="11.42578125" style="28"/>
    <col min="766" max="766" width="0.28515625" style="28" customWidth="1"/>
    <col min="767" max="767" width="2.5703125" style="28" customWidth="1"/>
    <col min="768" max="768" width="18.5703125" style="28" customWidth="1"/>
    <col min="769" max="769" width="1.42578125" style="28" customWidth="1"/>
    <col min="770" max="770" width="58.7109375" style="28" customWidth="1"/>
    <col min="771" max="772" width="11.42578125" style="28"/>
    <col min="773" max="773" width="2.28515625" style="28" customWidth="1"/>
    <col min="774" max="774" width="11.42578125" style="28"/>
    <col min="775" max="775" width="9.5703125" style="28" customWidth="1"/>
    <col min="776" max="1021" width="11.42578125" style="28"/>
    <col min="1022" max="1022" width="0.28515625" style="28" customWidth="1"/>
    <col min="1023" max="1023" width="2.5703125" style="28" customWidth="1"/>
    <col min="1024" max="1024" width="18.5703125" style="28" customWidth="1"/>
    <col min="1025" max="1025" width="1.42578125" style="28" customWidth="1"/>
    <col min="1026" max="1026" width="58.7109375" style="28" customWidth="1"/>
    <col min="1027" max="1028" width="11.42578125" style="28"/>
    <col min="1029" max="1029" width="2.28515625" style="28" customWidth="1"/>
    <col min="1030" max="1030" width="11.42578125" style="28"/>
    <col min="1031" max="1031" width="9.5703125" style="28" customWidth="1"/>
    <col min="1032" max="1277" width="11.42578125" style="28"/>
    <col min="1278" max="1278" width="0.28515625" style="28" customWidth="1"/>
    <col min="1279" max="1279" width="2.5703125" style="28" customWidth="1"/>
    <col min="1280" max="1280" width="18.5703125" style="28" customWidth="1"/>
    <col min="1281" max="1281" width="1.42578125" style="28" customWidth="1"/>
    <col min="1282" max="1282" width="58.7109375" style="28" customWidth="1"/>
    <col min="1283" max="1284" width="11.42578125" style="28"/>
    <col min="1285" max="1285" width="2.28515625" style="28" customWidth="1"/>
    <col min="1286" max="1286" width="11.42578125" style="28"/>
    <col min="1287" max="1287" width="9.5703125" style="28" customWidth="1"/>
    <col min="1288" max="1533" width="11.42578125" style="28"/>
    <col min="1534" max="1534" width="0.28515625" style="28" customWidth="1"/>
    <col min="1535" max="1535" width="2.5703125" style="28" customWidth="1"/>
    <col min="1536" max="1536" width="18.5703125" style="28" customWidth="1"/>
    <col min="1537" max="1537" width="1.42578125" style="28" customWidth="1"/>
    <col min="1538" max="1538" width="58.7109375" style="28" customWidth="1"/>
    <col min="1539" max="1540" width="11.42578125" style="28"/>
    <col min="1541" max="1541" width="2.28515625" style="28" customWidth="1"/>
    <col min="1542" max="1542" width="11.42578125" style="28"/>
    <col min="1543" max="1543" width="9.5703125" style="28" customWidth="1"/>
    <col min="1544" max="1789" width="11.42578125" style="28"/>
    <col min="1790" max="1790" width="0.28515625" style="28" customWidth="1"/>
    <col min="1791" max="1791" width="2.5703125" style="28" customWidth="1"/>
    <col min="1792" max="1792" width="18.5703125" style="28" customWidth="1"/>
    <col min="1793" max="1793" width="1.42578125" style="28" customWidth="1"/>
    <col min="1794" max="1794" width="58.7109375" style="28" customWidth="1"/>
    <col min="1795" max="1796" width="11.42578125" style="28"/>
    <col min="1797" max="1797" width="2.28515625" style="28" customWidth="1"/>
    <col min="1798" max="1798" width="11.42578125" style="28"/>
    <col min="1799" max="1799" width="9.5703125" style="28" customWidth="1"/>
    <col min="1800" max="2045" width="11.42578125" style="28"/>
    <col min="2046" max="2046" width="0.28515625" style="28" customWidth="1"/>
    <col min="2047" max="2047" width="2.5703125" style="28" customWidth="1"/>
    <col min="2048" max="2048" width="18.5703125" style="28" customWidth="1"/>
    <col min="2049" max="2049" width="1.42578125" style="28" customWidth="1"/>
    <col min="2050" max="2050" width="58.7109375" style="28" customWidth="1"/>
    <col min="2051" max="2052" width="11.42578125" style="28"/>
    <col min="2053" max="2053" width="2.28515625" style="28" customWidth="1"/>
    <col min="2054" max="2054" width="11.42578125" style="28"/>
    <col min="2055" max="2055" width="9.5703125" style="28" customWidth="1"/>
    <col min="2056" max="2301" width="11.42578125" style="28"/>
    <col min="2302" max="2302" width="0.28515625" style="28" customWidth="1"/>
    <col min="2303" max="2303" width="2.5703125" style="28" customWidth="1"/>
    <col min="2304" max="2304" width="18.5703125" style="28" customWidth="1"/>
    <col min="2305" max="2305" width="1.42578125" style="28" customWidth="1"/>
    <col min="2306" max="2306" width="58.7109375" style="28" customWidth="1"/>
    <col min="2307" max="2308" width="11.42578125" style="28"/>
    <col min="2309" max="2309" width="2.28515625" style="28" customWidth="1"/>
    <col min="2310" max="2310" width="11.42578125" style="28"/>
    <col min="2311" max="2311" width="9.5703125" style="28" customWidth="1"/>
    <col min="2312" max="2557" width="11.42578125" style="28"/>
    <col min="2558" max="2558" width="0.28515625" style="28" customWidth="1"/>
    <col min="2559" max="2559" width="2.5703125" style="28" customWidth="1"/>
    <col min="2560" max="2560" width="18.5703125" style="28" customWidth="1"/>
    <col min="2561" max="2561" width="1.42578125" style="28" customWidth="1"/>
    <col min="2562" max="2562" width="58.7109375" style="28" customWidth="1"/>
    <col min="2563" max="2564" width="11.42578125" style="28"/>
    <col min="2565" max="2565" width="2.28515625" style="28" customWidth="1"/>
    <col min="2566" max="2566" width="11.42578125" style="28"/>
    <col min="2567" max="2567" width="9.5703125" style="28" customWidth="1"/>
    <col min="2568" max="2813" width="11.42578125" style="28"/>
    <col min="2814" max="2814" width="0.28515625" style="28" customWidth="1"/>
    <col min="2815" max="2815" width="2.5703125" style="28" customWidth="1"/>
    <col min="2816" max="2816" width="18.5703125" style="28" customWidth="1"/>
    <col min="2817" max="2817" width="1.42578125" style="28" customWidth="1"/>
    <col min="2818" max="2818" width="58.7109375" style="28" customWidth="1"/>
    <col min="2819" max="2820" width="11.42578125" style="28"/>
    <col min="2821" max="2821" width="2.28515625" style="28" customWidth="1"/>
    <col min="2822" max="2822" width="11.42578125" style="28"/>
    <col min="2823" max="2823" width="9.5703125" style="28" customWidth="1"/>
    <col min="2824" max="3069" width="11.42578125" style="28"/>
    <col min="3070" max="3070" width="0.28515625" style="28" customWidth="1"/>
    <col min="3071" max="3071" width="2.5703125" style="28" customWidth="1"/>
    <col min="3072" max="3072" width="18.5703125" style="28" customWidth="1"/>
    <col min="3073" max="3073" width="1.42578125" style="28" customWidth="1"/>
    <col min="3074" max="3074" width="58.7109375" style="28" customWidth="1"/>
    <col min="3075" max="3076" width="11.42578125" style="28"/>
    <col min="3077" max="3077" width="2.28515625" style="28" customWidth="1"/>
    <col min="3078" max="3078" width="11.42578125" style="28"/>
    <col min="3079" max="3079" width="9.5703125" style="28" customWidth="1"/>
    <col min="3080" max="3325" width="11.42578125" style="28"/>
    <col min="3326" max="3326" width="0.28515625" style="28" customWidth="1"/>
    <col min="3327" max="3327" width="2.5703125" style="28" customWidth="1"/>
    <col min="3328" max="3328" width="18.5703125" style="28" customWidth="1"/>
    <col min="3329" max="3329" width="1.42578125" style="28" customWidth="1"/>
    <col min="3330" max="3330" width="58.7109375" style="28" customWidth="1"/>
    <col min="3331" max="3332" width="11.42578125" style="28"/>
    <col min="3333" max="3333" width="2.28515625" style="28" customWidth="1"/>
    <col min="3334" max="3334" width="11.42578125" style="28"/>
    <col min="3335" max="3335" width="9.5703125" style="28" customWidth="1"/>
    <col min="3336" max="3581" width="11.42578125" style="28"/>
    <col min="3582" max="3582" width="0.28515625" style="28" customWidth="1"/>
    <col min="3583" max="3583" width="2.5703125" style="28" customWidth="1"/>
    <col min="3584" max="3584" width="18.5703125" style="28" customWidth="1"/>
    <col min="3585" max="3585" width="1.42578125" style="28" customWidth="1"/>
    <col min="3586" max="3586" width="58.7109375" style="28" customWidth="1"/>
    <col min="3587" max="3588" width="11.42578125" style="28"/>
    <col min="3589" max="3589" width="2.28515625" style="28" customWidth="1"/>
    <col min="3590" max="3590" width="11.42578125" style="28"/>
    <col min="3591" max="3591" width="9.5703125" style="28" customWidth="1"/>
    <col min="3592" max="3837" width="11.42578125" style="28"/>
    <col min="3838" max="3838" width="0.28515625" style="28" customWidth="1"/>
    <col min="3839" max="3839" width="2.5703125" style="28" customWidth="1"/>
    <col min="3840" max="3840" width="18.5703125" style="28" customWidth="1"/>
    <col min="3841" max="3841" width="1.42578125" style="28" customWidth="1"/>
    <col min="3842" max="3842" width="58.7109375" style="28" customWidth="1"/>
    <col min="3843" max="3844" width="11.42578125" style="28"/>
    <col min="3845" max="3845" width="2.28515625" style="28" customWidth="1"/>
    <col min="3846" max="3846" width="11.42578125" style="28"/>
    <col min="3847" max="3847" width="9.5703125" style="28" customWidth="1"/>
    <col min="3848" max="4093" width="11.42578125" style="28"/>
    <col min="4094" max="4094" width="0.28515625" style="28" customWidth="1"/>
    <col min="4095" max="4095" width="2.5703125" style="28" customWidth="1"/>
    <col min="4096" max="4096" width="18.5703125" style="28" customWidth="1"/>
    <col min="4097" max="4097" width="1.42578125" style="28" customWidth="1"/>
    <col min="4098" max="4098" width="58.7109375" style="28" customWidth="1"/>
    <col min="4099" max="4100" width="11.42578125" style="28"/>
    <col min="4101" max="4101" width="2.28515625" style="28" customWidth="1"/>
    <col min="4102" max="4102" width="11.42578125" style="28"/>
    <col min="4103" max="4103" width="9.5703125" style="28" customWidth="1"/>
    <col min="4104" max="4349" width="11.42578125" style="28"/>
    <col min="4350" max="4350" width="0.28515625" style="28" customWidth="1"/>
    <col min="4351" max="4351" width="2.5703125" style="28" customWidth="1"/>
    <col min="4352" max="4352" width="18.5703125" style="28" customWidth="1"/>
    <col min="4353" max="4353" width="1.42578125" style="28" customWidth="1"/>
    <col min="4354" max="4354" width="58.7109375" style="28" customWidth="1"/>
    <col min="4355" max="4356" width="11.42578125" style="28"/>
    <col min="4357" max="4357" width="2.28515625" style="28" customWidth="1"/>
    <col min="4358" max="4358" width="11.42578125" style="28"/>
    <col min="4359" max="4359" width="9.5703125" style="28" customWidth="1"/>
    <col min="4360" max="4605" width="11.42578125" style="28"/>
    <col min="4606" max="4606" width="0.28515625" style="28" customWidth="1"/>
    <col min="4607" max="4607" width="2.5703125" style="28" customWidth="1"/>
    <col min="4608" max="4608" width="18.5703125" style="28" customWidth="1"/>
    <col min="4609" max="4609" width="1.42578125" style="28" customWidth="1"/>
    <col min="4610" max="4610" width="58.7109375" style="28" customWidth="1"/>
    <col min="4611" max="4612" width="11.42578125" style="28"/>
    <col min="4613" max="4613" width="2.28515625" style="28" customWidth="1"/>
    <col min="4614" max="4614" width="11.42578125" style="28"/>
    <col min="4615" max="4615" width="9.5703125" style="28" customWidth="1"/>
    <col min="4616" max="4861" width="11.42578125" style="28"/>
    <col min="4862" max="4862" width="0.28515625" style="28" customWidth="1"/>
    <col min="4863" max="4863" width="2.5703125" style="28" customWidth="1"/>
    <col min="4864" max="4864" width="18.5703125" style="28" customWidth="1"/>
    <col min="4865" max="4865" width="1.42578125" style="28" customWidth="1"/>
    <col min="4866" max="4866" width="58.7109375" style="28" customWidth="1"/>
    <col min="4867" max="4868" width="11.42578125" style="28"/>
    <col min="4869" max="4869" width="2.28515625" style="28" customWidth="1"/>
    <col min="4870" max="4870" width="11.42578125" style="28"/>
    <col min="4871" max="4871" width="9.5703125" style="28" customWidth="1"/>
    <col min="4872" max="5117" width="11.42578125" style="28"/>
    <col min="5118" max="5118" width="0.28515625" style="28" customWidth="1"/>
    <col min="5119" max="5119" width="2.5703125" style="28" customWidth="1"/>
    <col min="5120" max="5120" width="18.5703125" style="28" customWidth="1"/>
    <col min="5121" max="5121" width="1.42578125" style="28" customWidth="1"/>
    <col min="5122" max="5122" width="58.7109375" style="28" customWidth="1"/>
    <col min="5123" max="5124" width="11.42578125" style="28"/>
    <col min="5125" max="5125" width="2.28515625" style="28" customWidth="1"/>
    <col min="5126" max="5126" width="11.42578125" style="28"/>
    <col min="5127" max="5127" width="9.5703125" style="28" customWidth="1"/>
    <col min="5128" max="5373" width="11.42578125" style="28"/>
    <col min="5374" max="5374" width="0.28515625" style="28" customWidth="1"/>
    <col min="5375" max="5375" width="2.5703125" style="28" customWidth="1"/>
    <col min="5376" max="5376" width="18.5703125" style="28" customWidth="1"/>
    <col min="5377" max="5377" width="1.42578125" style="28" customWidth="1"/>
    <col min="5378" max="5378" width="58.7109375" style="28" customWidth="1"/>
    <col min="5379" max="5380" width="11.42578125" style="28"/>
    <col min="5381" max="5381" width="2.28515625" style="28" customWidth="1"/>
    <col min="5382" max="5382" width="11.42578125" style="28"/>
    <col min="5383" max="5383" width="9.5703125" style="28" customWidth="1"/>
    <col min="5384" max="5629" width="11.42578125" style="28"/>
    <col min="5630" max="5630" width="0.28515625" style="28" customWidth="1"/>
    <col min="5631" max="5631" width="2.5703125" style="28" customWidth="1"/>
    <col min="5632" max="5632" width="18.5703125" style="28" customWidth="1"/>
    <col min="5633" max="5633" width="1.42578125" style="28" customWidth="1"/>
    <col min="5634" max="5634" width="58.7109375" style="28" customWidth="1"/>
    <col min="5635" max="5636" width="11.42578125" style="28"/>
    <col min="5637" max="5637" width="2.28515625" style="28" customWidth="1"/>
    <col min="5638" max="5638" width="11.42578125" style="28"/>
    <col min="5639" max="5639" width="9.5703125" style="28" customWidth="1"/>
    <col min="5640" max="5885" width="11.42578125" style="28"/>
    <col min="5886" max="5886" width="0.28515625" style="28" customWidth="1"/>
    <col min="5887" max="5887" width="2.5703125" style="28" customWidth="1"/>
    <col min="5888" max="5888" width="18.5703125" style="28" customWidth="1"/>
    <col min="5889" max="5889" width="1.42578125" style="28" customWidth="1"/>
    <col min="5890" max="5890" width="58.7109375" style="28" customWidth="1"/>
    <col min="5891" max="5892" width="11.42578125" style="28"/>
    <col min="5893" max="5893" width="2.28515625" style="28" customWidth="1"/>
    <col min="5894" max="5894" width="11.42578125" style="28"/>
    <col min="5895" max="5895" width="9.5703125" style="28" customWidth="1"/>
    <col min="5896" max="6141" width="11.42578125" style="28"/>
    <col min="6142" max="6142" width="0.28515625" style="28" customWidth="1"/>
    <col min="6143" max="6143" width="2.5703125" style="28" customWidth="1"/>
    <col min="6144" max="6144" width="18.5703125" style="28" customWidth="1"/>
    <col min="6145" max="6145" width="1.42578125" style="28" customWidth="1"/>
    <col min="6146" max="6146" width="58.7109375" style="28" customWidth="1"/>
    <col min="6147" max="6148" width="11.42578125" style="28"/>
    <col min="6149" max="6149" width="2.28515625" style="28" customWidth="1"/>
    <col min="6150" max="6150" width="11.42578125" style="28"/>
    <col min="6151" max="6151" width="9.5703125" style="28" customWidth="1"/>
    <col min="6152" max="6397" width="11.42578125" style="28"/>
    <col min="6398" max="6398" width="0.28515625" style="28" customWidth="1"/>
    <col min="6399" max="6399" width="2.5703125" style="28" customWidth="1"/>
    <col min="6400" max="6400" width="18.5703125" style="28" customWidth="1"/>
    <col min="6401" max="6401" width="1.42578125" style="28" customWidth="1"/>
    <col min="6402" max="6402" width="58.7109375" style="28" customWidth="1"/>
    <col min="6403" max="6404" width="11.42578125" style="28"/>
    <col min="6405" max="6405" width="2.28515625" style="28" customWidth="1"/>
    <col min="6406" max="6406" width="11.42578125" style="28"/>
    <col min="6407" max="6407" width="9.5703125" style="28" customWidth="1"/>
    <col min="6408" max="6653" width="11.42578125" style="28"/>
    <col min="6654" max="6654" width="0.28515625" style="28" customWidth="1"/>
    <col min="6655" max="6655" width="2.5703125" style="28" customWidth="1"/>
    <col min="6656" max="6656" width="18.5703125" style="28" customWidth="1"/>
    <col min="6657" max="6657" width="1.42578125" style="28" customWidth="1"/>
    <col min="6658" max="6658" width="58.7109375" style="28" customWidth="1"/>
    <col min="6659" max="6660" width="11.42578125" style="28"/>
    <col min="6661" max="6661" width="2.28515625" style="28" customWidth="1"/>
    <col min="6662" max="6662" width="11.42578125" style="28"/>
    <col min="6663" max="6663" width="9.5703125" style="28" customWidth="1"/>
    <col min="6664" max="6909" width="11.42578125" style="28"/>
    <col min="6910" max="6910" width="0.28515625" style="28" customWidth="1"/>
    <col min="6911" max="6911" width="2.5703125" style="28" customWidth="1"/>
    <col min="6912" max="6912" width="18.5703125" style="28" customWidth="1"/>
    <col min="6913" max="6913" width="1.42578125" style="28" customWidth="1"/>
    <col min="6914" max="6914" width="58.7109375" style="28" customWidth="1"/>
    <col min="6915" max="6916" width="11.42578125" style="28"/>
    <col min="6917" max="6917" width="2.28515625" style="28" customWidth="1"/>
    <col min="6918" max="6918" width="11.42578125" style="28"/>
    <col min="6919" max="6919" width="9.5703125" style="28" customWidth="1"/>
    <col min="6920" max="7165" width="11.42578125" style="28"/>
    <col min="7166" max="7166" width="0.28515625" style="28" customWidth="1"/>
    <col min="7167" max="7167" width="2.5703125" style="28" customWidth="1"/>
    <col min="7168" max="7168" width="18.5703125" style="28" customWidth="1"/>
    <col min="7169" max="7169" width="1.42578125" style="28" customWidth="1"/>
    <col min="7170" max="7170" width="58.7109375" style="28" customWidth="1"/>
    <col min="7171" max="7172" width="11.42578125" style="28"/>
    <col min="7173" max="7173" width="2.28515625" style="28" customWidth="1"/>
    <col min="7174" max="7174" width="11.42578125" style="28"/>
    <col min="7175" max="7175" width="9.5703125" style="28" customWidth="1"/>
    <col min="7176" max="7421" width="11.42578125" style="28"/>
    <col min="7422" max="7422" width="0.28515625" style="28" customWidth="1"/>
    <col min="7423" max="7423" width="2.5703125" style="28" customWidth="1"/>
    <col min="7424" max="7424" width="18.5703125" style="28" customWidth="1"/>
    <col min="7425" max="7425" width="1.42578125" style="28" customWidth="1"/>
    <col min="7426" max="7426" width="58.7109375" style="28" customWidth="1"/>
    <col min="7427" max="7428" width="11.42578125" style="28"/>
    <col min="7429" max="7429" width="2.28515625" style="28" customWidth="1"/>
    <col min="7430" max="7430" width="11.42578125" style="28"/>
    <col min="7431" max="7431" width="9.5703125" style="28" customWidth="1"/>
    <col min="7432" max="7677" width="11.42578125" style="28"/>
    <col min="7678" max="7678" width="0.28515625" style="28" customWidth="1"/>
    <col min="7679" max="7679" width="2.5703125" style="28" customWidth="1"/>
    <col min="7680" max="7680" width="18.5703125" style="28" customWidth="1"/>
    <col min="7681" max="7681" width="1.42578125" style="28" customWidth="1"/>
    <col min="7682" max="7682" width="58.7109375" style="28" customWidth="1"/>
    <col min="7683" max="7684" width="11.42578125" style="28"/>
    <col min="7685" max="7685" width="2.28515625" style="28" customWidth="1"/>
    <col min="7686" max="7686" width="11.42578125" style="28"/>
    <col min="7687" max="7687" width="9.5703125" style="28" customWidth="1"/>
    <col min="7688" max="7933" width="11.42578125" style="28"/>
    <col min="7934" max="7934" width="0.28515625" style="28" customWidth="1"/>
    <col min="7935" max="7935" width="2.5703125" style="28" customWidth="1"/>
    <col min="7936" max="7936" width="18.5703125" style="28" customWidth="1"/>
    <col min="7937" max="7937" width="1.42578125" style="28" customWidth="1"/>
    <col min="7938" max="7938" width="58.7109375" style="28" customWidth="1"/>
    <col min="7939" max="7940" width="11.42578125" style="28"/>
    <col min="7941" max="7941" width="2.28515625" style="28" customWidth="1"/>
    <col min="7942" max="7942" width="11.42578125" style="28"/>
    <col min="7943" max="7943" width="9.5703125" style="28" customWidth="1"/>
    <col min="7944" max="8189" width="11.42578125" style="28"/>
    <col min="8190" max="8190" width="0.28515625" style="28" customWidth="1"/>
    <col min="8191" max="8191" width="2.5703125" style="28" customWidth="1"/>
    <col min="8192" max="8192" width="18.5703125" style="28" customWidth="1"/>
    <col min="8193" max="8193" width="1.42578125" style="28" customWidth="1"/>
    <col min="8194" max="8194" width="58.7109375" style="28" customWidth="1"/>
    <col min="8195" max="8196" width="11.42578125" style="28"/>
    <col min="8197" max="8197" width="2.28515625" style="28" customWidth="1"/>
    <col min="8198" max="8198" width="11.42578125" style="28"/>
    <col min="8199" max="8199" width="9.5703125" style="28" customWidth="1"/>
    <col min="8200" max="8445" width="11.42578125" style="28"/>
    <col min="8446" max="8446" width="0.28515625" style="28" customWidth="1"/>
    <col min="8447" max="8447" width="2.5703125" style="28" customWidth="1"/>
    <col min="8448" max="8448" width="18.5703125" style="28" customWidth="1"/>
    <col min="8449" max="8449" width="1.42578125" style="28" customWidth="1"/>
    <col min="8450" max="8450" width="58.7109375" style="28" customWidth="1"/>
    <col min="8451" max="8452" width="11.42578125" style="28"/>
    <col min="8453" max="8453" width="2.28515625" style="28" customWidth="1"/>
    <col min="8454" max="8454" width="11.42578125" style="28"/>
    <col min="8455" max="8455" width="9.5703125" style="28" customWidth="1"/>
    <col min="8456" max="8701" width="11.42578125" style="28"/>
    <col min="8702" max="8702" width="0.28515625" style="28" customWidth="1"/>
    <col min="8703" max="8703" width="2.5703125" style="28" customWidth="1"/>
    <col min="8704" max="8704" width="18.5703125" style="28" customWidth="1"/>
    <col min="8705" max="8705" width="1.42578125" style="28" customWidth="1"/>
    <col min="8706" max="8706" width="58.7109375" style="28" customWidth="1"/>
    <col min="8707" max="8708" width="11.42578125" style="28"/>
    <col min="8709" max="8709" width="2.28515625" style="28" customWidth="1"/>
    <col min="8710" max="8710" width="11.42578125" style="28"/>
    <col min="8711" max="8711" width="9.5703125" style="28" customWidth="1"/>
    <col min="8712" max="8957" width="11.42578125" style="28"/>
    <col min="8958" max="8958" width="0.28515625" style="28" customWidth="1"/>
    <col min="8959" max="8959" width="2.5703125" style="28" customWidth="1"/>
    <col min="8960" max="8960" width="18.5703125" style="28" customWidth="1"/>
    <col min="8961" max="8961" width="1.42578125" style="28" customWidth="1"/>
    <col min="8962" max="8962" width="58.7109375" style="28" customWidth="1"/>
    <col min="8963" max="8964" width="11.42578125" style="28"/>
    <col min="8965" max="8965" width="2.28515625" style="28" customWidth="1"/>
    <col min="8966" max="8966" width="11.42578125" style="28"/>
    <col min="8967" max="8967" width="9.5703125" style="28" customWidth="1"/>
    <col min="8968" max="9213" width="11.42578125" style="28"/>
    <col min="9214" max="9214" width="0.28515625" style="28" customWidth="1"/>
    <col min="9215" max="9215" width="2.5703125" style="28" customWidth="1"/>
    <col min="9216" max="9216" width="18.5703125" style="28" customWidth="1"/>
    <col min="9217" max="9217" width="1.42578125" style="28" customWidth="1"/>
    <col min="9218" max="9218" width="58.7109375" style="28" customWidth="1"/>
    <col min="9219" max="9220" width="11.42578125" style="28"/>
    <col min="9221" max="9221" width="2.28515625" style="28" customWidth="1"/>
    <col min="9222" max="9222" width="11.42578125" style="28"/>
    <col min="9223" max="9223" width="9.5703125" style="28" customWidth="1"/>
    <col min="9224" max="9469" width="11.42578125" style="28"/>
    <col min="9470" max="9470" width="0.28515625" style="28" customWidth="1"/>
    <col min="9471" max="9471" width="2.5703125" style="28" customWidth="1"/>
    <col min="9472" max="9472" width="18.5703125" style="28" customWidth="1"/>
    <col min="9473" max="9473" width="1.42578125" style="28" customWidth="1"/>
    <col min="9474" max="9474" width="58.7109375" style="28" customWidth="1"/>
    <col min="9475" max="9476" width="11.42578125" style="28"/>
    <col min="9477" max="9477" width="2.28515625" style="28" customWidth="1"/>
    <col min="9478" max="9478" width="11.42578125" style="28"/>
    <col min="9479" max="9479" width="9.5703125" style="28" customWidth="1"/>
    <col min="9480" max="9725" width="11.42578125" style="28"/>
    <col min="9726" max="9726" width="0.28515625" style="28" customWidth="1"/>
    <col min="9727" max="9727" width="2.5703125" style="28" customWidth="1"/>
    <col min="9728" max="9728" width="18.5703125" style="28" customWidth="1"/>
    <col min="9729" max="9729" width="1.42578125" style="28" customWidth="1"/>
    <col min="9730" max="9730" width="58.7109375" style="28" customWidth="1"/>
    <col min="9731" max="9732" width="11.42578125" style="28"/>
    <col min="9733" max="9733" width="2.28515625" style="28" customWidth="1"/>
    <col min="9734" max="9734" width="11.42578125" style="28"/>
    <col min="9735" max="9735" width="9.5703125" style="28" customWidth="1"/>
    <col min="9736" max="9981" width="11.42578125" style="28"/>
    <col min="9982" max="9982" width="0.28515625" style="28" customWidth="1"/>
    <col min="9983" max="9983" width="2.5703125" style="28" customWidth="1"/>
    <col min="9984" max="9984" width="18.5703125" style="28" customWidth="1"/>
    <col min="9985" max="9985" width="1.42578125" style="28" customWidth="1"/>
    <col min="9986" max="9986" width="58.7109375" style="28" customWidth="1"/>
    <col min="9987" max="9988" width="11.42578125" style="28"/>
    <col min="9989" max="9989" width="2.28515625" style="28" customWidth="1"/>
    <col min="9990" max="9990" width="11.42578125" style="28"/>
    <col min="9991" max="9991" width="9.5703125" style="28" customWidth="1"/>
    <col min="9992" max="10237" width="11.42578125" style="28"/>
    <col min="10238" max="10238" width="0.28515625" style="28" customWidth="1"/>
    <col min="10239" max="10239" width="2.5703125" style="28" customWidth="1"/>
    <col min="10240" max="10240" width="18.5703125" style="28" customWidth="1"/>
    <col min="10241" max="10241" width="1.42578125" style="28" customWidth="1"/>
    <col min="10242" max="10242" width="58.7109375" style="28" customWidth="1"/>
    <col min="10243" max="10244" width="11.42578125" style="28"/>
    <col min="10245" max="10245" width="2.28515625" style="28" customWidth="1"/>
    <col min="10246" max="10246" width="11.42578125" style="28"/>
    <col min="10247" max="10247" width="9.5703125" style="28" customWidth="1"/>
    <col min="10248" max="10493" width="11.42578125" style="28"/>
    <col min="10494" max="10494" width="0.28515625" style="28" customWidth="1"/>
    <col min="10495" max="10495" width="2.5703125" style="28" customWidth="1"/>
    <col min="10496" max="10496" width="18.5703125" style="28" customWidth="1"/>
    <col min="10497" max="10497" width="1.42578125" style="28" customWidth="1"/>
    <col min="10498" max="10498" width="58.7109375" style="28" customWidth="1"/>
    <col min="10499" max="10500" width="11.42578125" style="28"/>
    <col min="10501" max="10501" width="2.28515625" style="28" customWidth="1"/>
    <col min="10502" max="10502" width="11.42578125" style="28"/>
    <col min="10503" max="10503" width="9.5703125" style="28" customWidth="1"/>
    <col min="10504" max="10749" width="11.42578125" style="28"/>
    <col min="10750" max="10750" width="0.28515625" style="28" customWidth="1"/>
    <col min="10751" max="10751" width="2.5703125" style="28" customWidth="1"/>
    <col min="10752" max="10752" width="18.5703125" style="28" customWidth="1"/>
    <col min="10753" max="10753" width="1.42578125" style="28" customWidth="1"/>
    <col min="10754" max="10754" width="58.7109375" style="28" customWidth="1"/>
    <col min="10755" max="10756" width="11.42578125" style="28"/>
    <col min="10757" max="10757" width="2.28515625" style="28" customWidth="1"/>
    <col min="10758" max="10758" width="11.42578125" style="28"/>
    <col min="10759" max="10759" width="9.5703125" style="28" customWidth="1"/>
    <col min="10760" max="11005" width="11.42578125" style="28"/>
    <col min="11006" max="11006" width="0.28515625" style="28" customWidth="1"/>
    <col min="11007" max="11007" width="2.5703125" style="28" customWidth="1"/>
    <col min="11008" max="11008" width="18.5703125" style="28" customWidth="1"/>
    <col min="11009" max="11009" width="1.42578125" style="28" customWidth="1"/>
    <col min="11010" max="11010" width="58.7109375" style="28" customWidth="1"/>
    <col min="11011" max="11012" width="11.42578125" style="28"/>
    <col min="11013" max="11013" width="2.28515625" style="28" customWidth="1"/>
    <col min="11014" max="11014" width="11.42578125" style="28"/>
    <col min="11015" max="11015" width="9.5703125" style="28" customWidth="1"/>
    <col min="11016" max="11261" width="11.42578125" style="28"/>
    <col min="11262" max="11262" width="0.28515625" style="28" customWidth="1"/>
    <col min="11263" max="11263" width="2.5703125" style="28" customWidth="1"/>
    <col min="11264" max="11264" width="18.5703125" style="28" customWidth="1"/>
    <col min="11265" max="11265" width="1.42578125" style="28" customWidth="1"/>
    <col min="11266" max="11266" width="58.7109375" style="28" customWidth="1"/>
    <col min="11267" max="11268" width="11.42578125" style="28"/>
    <col min="11269" max="11269" width="2.28515625" style="28" customWidth="1"/>
    <col min="11270" max="11270" width="11.42578125" style="28"/>
    <col min="11271" max="11271" width="9.5703125" style="28" customWidth="1"/>
    <col min="11272" max="11517" width="11.42578125" style="28"/>
    <col min="11518" max="11518" width="0.28515625" style="28" customWidth="1"/>
    <col min="11519" max="11519" width="2.5703125" style="28" customWidth="1"/>
    <col min="11520" max="11520" width="18.5703125" style="28" customWidth="1"/>
    <col min="11521" max="11521" width="1.42578125" style="28" customWidth="1"/>
    <col min="11522" max="11522" width="58.7109375" style="28" customWidth="1"/>
    <col min="11523" max="11524" width="11.42578125" style="28"/>
    <col min="11525" max="11525" width="2.28515625" style="28" customWidth="1"/>
    <col min="11526" max="11526" width="11.42578125" style="28"/>
    <col min="11527" max="11527" width="9.5703125" style="28" customWidth="1"/>
    <col min="11528" max="11773" width="11.42578125" style="28"/>
    <col min="11774" max="11774" width="0.28515625" style="28" customWidth="1"/>
    <col min="11775" max="11775" width="2.5703125" style="28" customWidth="1"/>
    <col min="11776" max="11776" width="18.5703125" style="28" customWidth="1"/>
    <col min="11777" max="11777" width="1.42578125" style="28" customWidth="1"/>
    <col min="11778" max="11778" width="58.7109375" style="28" customWidth="1"/>
    <col min="11779" max="11780" width="11.42578125" style="28"/>
    <col min="11781" max="11781" width="2.28515625" style="28" customWidth="1"/>
    <col min="11782" max="11782" width="11.42578125" style="28"/>
    <col min="11783" max="11783" width="9.5703125" style="28" customWidth="1"/>
    <col min="11784" max="12029" width="11.42578125" style="28"/>
    <col min="12030" max="12030" width="0.28515625" style="28" customWidth="1"/>
    <col min="12031" max="12031" width="2.5703125" style="28" customWidth="1"/>
    <col min="12032" max="12032" width="18.5703125" style="28" customWidth="1"/>
    <col min="12033" max="12033" width="1.42578125" style="28" customWidth="1"/>
    <col min="12034" max="12034" width="58.7109375" style="28" customWidth="1"/>
    <col min="12035" max="12036" width="11.42578125" style="28"/>
    <col min="12037" max="12037" width="2.28515625" style="28" customWidth="1"/>
    <col min="12038" max="12038" width="11.42578125" style="28"/>
    <col min="12039" max="12039" width="9.5703125" style="28" customWidth="1"/>
    <col min="12040" max="12285" width="11.42578125" style="28"/>
    <col min="12286" max="12286" width="0.28515625" style="28" customWidth="1"/>
    <col min="12287" max="12287" width="2.5703125" style="28" customWidth="1"/>
    <col min="12288" max="12288" width="18.5703125" style="28" customWidth="1"/>
    <col min="12289" max="12289" width="1.42578125" style="28" customWidth="1"/>
    <col min="12290" max="12290" width="58.7109375" style="28" customWidth="1"/>
    <col min="12291" max="12292" width="11.42578125" style="28"/>
    <col min="12293" max="12293" width="2.28515625" style="28" customWidth="1"/>
    <col min="12294" max="12294" width="11.42578125" style="28"/>
    <col min="12295" max="12295" width="9.5703125" style="28" customWidth="1"/>
    <col min="12296" max="12541" width="11.42578125" style="28"/>
    <col min="12542" max="12542" width="0.28515625" style="28" customWidth="1"/>
    <col min="12543" max="12543" width="2.5703125" style="28" customWidth="1"/>
    <col min="12544" max="12544" width="18.5703125" style="28" customWidth="1"/>
    <col min="12545" max="12545" width="1.42578125" style="28" customWidth="1"/>
    <col min="12546" max="12546" width="58.7109375" style="28" customWidth="1"/>
    <col min="12547" max="12548" width="11.42578125" style="28"/>
    <col min="12549" max="12549" width="2.28515625" style="28" customWidth="1"/>
    <col min="12550" max="12550" width="11.42578125" style="28"/>
    <col min="12551" max="12551" width="9.5703125" style="28" customWidth="1"/>
    <col min="12552" max="12797" width="11.42578125" style="28"/>
    <col min="12798" max="12798" width="0.28515625" style="28" customWidth="1"/>
    <col min="12799" max="12799" width="2.5703125" style="28" customWidth="1"/>
    <col min="12800" max="12800" width="18.5703125" style="28" customWidth="1"/>
    <col min="12801" max="12801" width="1.42578125" style="28" customWidth="1"/>
    <col min="12802" max="12802" width="58.7109375" style="28" customWidth="1"/>
    <col min="12803" max="12804" width="11.42578125" style="28"/>
    <col min="12805" max="12805" width="2.28515625" style="28" customWidth="1"/>
    <col min="12806" max="12806" width="11.42578125" style="28"/>
    <col min="12807" max="12807" width="9.5703125" style="28" customWidth="1"/>
    <col min="12808" max="13053" width="11.42578125" style="28"/>
    <col min="13054" max="13054" width="0.28515625" style="28" customWidth="1"/>
    <col min="13055" max="13055" width="2.5703125" style="28" customWidth="1"/>
    <col min="13056" max="13056" width="18.5703125" style="28" customWidth="1"/>
    <col min="13057" max="13057" width="1.42578125" style="28" customWidth="1"/>
    <col min="13058" max="13058" width="58.7109375" style="28" customWidth="1"/>
    <col min="13059" max="13060" width="11.42578125" style="28"/>
    <col min="13061" max="13061" width="2.28515625" style="28" customWidth="1"/>
    <col min="13062" max="13062" width="11.42578125" style="28"/>
    <col min="13063" max="13063" width="9.5703125" style="28" customWidth="1"/>
    <col min="13064" max="13309" width="11.42578125" style="28"/>
    <col min="13310" max="13310" width="0.28515625" style="28" customWidth="1"/>
    <col min="13311" max="13311" width="2.5703125" style="28" customWidth="1"/>
    <col min="13312" max="13312" width="18.5703125" style="28" customWidth="1"/>
    <col min="13313" max="13313" width="1.42578125" style="28" customWidth="1"/>
    <col min="13314" max="13314" width="58.7109375" style="28" customWidth="1"/>
    <col min="13315" max="13316" width="11.42578125" style="28"/>
    <col min="13317" max="13317" width="2.28515625" style="28" customWidth="1"/>
    <col min="13318" max="13318" width="11.42578125" style="28"/>
    <col min="13319" max="13319" width="9.5703125" style="28" customWidth="1"/>
    <col min="13320" max="13565" width="11.42578125" style="28"/>
    <col min="13566" max="13566" width="0.28515625" style="28" customWidth="1"/>
    <col min="13567" max="13567" width="2.5703125" style="28" customWidth="1"/>
    <col min="13568" max="13568" width="18.5703125" style="28" customWidth="1"/>
    <col min="13569" max="13569" width="1.42578125" style="28" customWidth="1"/>
    <col min="13570" max="13570" width="58.7109375" style="28" customWidth="1"/>
    <col min="13571" max="13572" width="11.42578125" style="28"/>
    <col min="13573" max="13573" width="2.28515625" style="28" customWidth="1"/>
    <col min="13574" max="13574" width="11.42578125" style="28"/>
    <col min="13575" max="13575" width="9.5703125" style="28" customWidth="1"/>
    <col min="13576" max="13821" width="11.42578125" style="28"/>
    <col min="13822" max="13822" width="0.28515625" style="28" customWidth="1"/>
    <col min="13823" max="13823" width="2.5703125" style="28" customWidth="1"/>
    <col min="13824" max="13824" width="18.5703125" style="28" customWidth="1"/>
    <col min="13825" max="13825" width="1.42578125" style="28" customWidth="1"/>
    <col min="13826" max="13826" width="58.7109375" style="28" customWidth="1"/>
    <col min="13827" max="13828" width="11.42578125" style="28"/>
    <col min="13829" max="13829" width="2.28515625" style="28" customWidth="1"/>
    <col min="13830" max="13830" width="11.42578125" style="28"/>
    <col min="13831" max="13831" width="9.5703125" style="28" customWidth="1"/>
    <col min="13832" max="14077" width="11.42578125" style="28"/>
    <col min="14078" max="14078" width="0.28515625" style="28" customWidth="1"/>
    <col min="14079" max="14079" width="2.5703125" style="28" customWidth="1"/>
    <col min="14080" max="14080" width="18.5703125" style="28" customWidth="1"/>
    <col min="14081" max="14081" width="1.42578125" style="28" customWidth="1"/>
    <col min="14082" max="14082" width="58.7109375" style="28" customWidth="1"/>
    <col min="14083" max="14084" width="11.42578125" style="28"/>
    <col min="14085" max="14085" width="2.28515625" style="28" customWidth="1"/>
    <col min="14086" max="14086" width="11.42578125" style="28"/>
    <col min="14087" max="14087" width="9.5703125" style="28" customWidth="1"/>
    <col min="14088" max="14333" width="11.42578125" style="28"/>
    <col min="14334" max="14334" width="0.28515625" style="28" customWidth="1"/>
    <col min="14335" max="14335" width="2.5703125" style="28" customWidth="1"/>
    <col min="14336" max="14336" width="18.5703125" style="28" customWidth="1"/>
    <col min="14337" max="14337" width="1.42578125" style="28" customWidth="1"/>
    <col min="14338" max="14338" width="58.7109375" style="28" customWidth="1"/>
    <col min="14339" max="14340" width="11.42578125" style="28"/>
    <col min="14341" max="14341" width="2.28515625" style="28" customWidth="1"/>
    <col min="14342" max="14342" width="11.42578125" style="28"/>
    <col min="14343" max="14343" width="9.5703125" style="28" customWidth="1"/>
    <col min="14344" max="14589" width="11.42578125" style="28"/>
    <col min="14590" max="14590" width="0.28515625" style="28" customWidth="1"/>
    <col min="14591" max="14591" width="2.5703125" style="28" customWidth="1"/>
    <col min="14592" max="14592" width="18.5703125" style="28" customWidth="1"/>
    <col min="14593" max="14593" width="1.42578125" style="28" customWidth="1"/>
    <col min="14594" max="14594" width="58.7109375" style="28" customWidth="1"/>
    <col min="14595" max="14596" width="11.42578125" style="28"/>
    <col min="14597" max="14597" width="2.28515625" style="28" customWidth="1"/>
    <col min="14598" max="14598" width="11.42578125" style="28"/>
    <col min="14599" max="14599" width="9.5703125" style="28" customWidth="1"/>
    <col min="14600" max="14845" width="11.42578125" style="28"/>
    <col min="14846" max="14846" width="0.28515625" style="28" customWidth="1"/>
    <col min="14847" max="14847" width="2.5703125" style="28" customWidth="1"/>
    <col min="14848" max="14848" width="18.5703125" style="28" customWidth="1"/>
    <col min="14849" max="14849" width="1.42578125" style="28" customWidth="1"/>
    <col min="14850" max="14850" width="58.7109375" style="28" customWidth="1"/>
    <col min="14851" max="14852" width="11.42578125" style="28"/>
    <col min="14853" max="14853" width="2.28515625" style="28" customWidth="1"/>
    <col min="14854" max="14854" width="11.42578125" style="28"/>
    <col min="14855" max="14855" width="9.5703125" style="28" customWidth="1"/>
    <col min="14856" max="15101" width="11.42578125" style="28"/>
    <col min="15102" max="15102" width="0.28515625" style="28" customWidth="1"/>
    <col min="15103" max="15103" width="2.5703125" style="28" customWidth="1"/>
    <col min="15104" max="15104" width="18.5703125" style="28" customWidth="1"/>
    <col min="15105" max="15105" width="1.42578125" style="28" customWidth="1"/>
    <col min="15106" max="15106" width="58.7109375" style="28" customWidth="1"/>
    <col min="15107" max="15108" width="11.42578125" style="28"/>
    <col min="15109" max="15109" width="2.28515625" style="28" customWidth="1"/>
    <col min="15110" max="15110" width="11.42578125" style="28"/>
    <col min="15111" max="15111" width="9.5703125" style="28" customWidth="1"/>
    <col min="15112" max="15357" width="11.42578125" style="28"/>
    <col min="15358" max="15358" width="0.28515625" style="28" customWidth="1"/>
    <col min="15359" max="15359" width="2.5703125" style="28" customWidth="1"/>
    <col min="15360" max="15360" width="18.5703125" style="28" customWidth="1"/>
    <col min="15361" max="15361" width="1.42578125" style="28" customWidth="1"/>
    <col min="15362" max="15362" width="58.7109375" style="28" customWidth="1"/>
    <col min="15363" max="15364" width="11.42578125" style="28"/>
    <col min="15365" max="15365" width="2.28515625" style="28" customWidth="1"/>
    <col min="15366" max="15366" width="11.42578125" style="28"/>
    <col min="15367" max="15367" width="9.5703125" style="28" customWidth="1"/>
    <col min="15368" max="15613" width="11.42578125" style="28"/>
    <col min="15614" max="15614" width="0.28515625" style="28" customWidth="1"/>
    <col min="15615" max="15615" width="2.5703125" style="28" customWidth="1"/>
    <col min="15616" max="15616" width="18.5703125" style="28" customWidth="1"/>
    <col min="15617" max="15617" width="1.42578125" style="28" customWidth="1"/>
    <col min="15618" max="15618" width="58.7109375" style="28" customWidth="1"/>
    <col min="15619" max="15620" width="11.42578125" style="28"/>
    <col min="15621" max="15621" width="2.28515625" style="28" customWidth="1"/>
    <col min="15622" max="15622" width="11.42578125" style="28"/>
    <col min="15623" max="15623" width="9.5703125" style="28" customWidth="1"/>
    <col min="15624" max="15869" width="11.42578125" style="28"/>
    <col min="15870" max="15870" width="0.28515625" style="28" customWidth="1"/>
    <col min="15871" max="15871" width="2.5703125" style="28" customWidth="1"/>
    <col min="15872" max="15872" width="18.5703125" style="28" customWidth="1"/>
    <col min="15873" max="15873" width="1.42578125" style="28" customWidth="1"/>
    <col min="15874" max="15874" width="58.7109375" style="28" customWidth="1"/>
    <col min="15875" max="15876" width="11.42578125" style="28"/>
    <col min="15877" max="15877" width="2.28515625" style="28" customWidth="1"/>
    <col min="15878" max="15878" width="11.42578125" style="28"/>
    <col min="15879" max="15879" width="9.5703125" style="28" customWidth="1"/>
    <col min="15880" max="16125" width="11.42578125" style="28"/>
    <col min="16126" max="16126" width="0.28515625" style="28" customWidth="1"/>
    <col min="16127" max="16127" width="2.5703125" style="28" customWidth="1"/>
    <col min="16128" max="16128" width="18.5703125" style="28" customWidth="1"/>
    <col min="16129" max="16129" width="1.42578125" style="28" customWidth="1"/>
    <col min="16130" max="16130" width="58.7109375" style="28" customWidth="1"/>
    <col min="16131" max="16132" width="11.42578125" style="28"/>
    <col min="16133" max="16133" width="2.28515625" style="28" customWidth="1"/>
    <col min="16134" max="16134" width="11.42578125" style="28"/>
    <col min="16135" max="16135" width="9.5703125" style="28" customWidth="1"/>
    <col min="16136" max="16384" width="11.42578125" style="28"/>
  </cols>
  <sheetData>
    <row r="1" spans="2:12" s="29" customFormat="1" ht="0.75" customHeight="1"/>
    <row r="2" spans="2:12" s="29" customFormat="1" ht="21" customHeight="1">
      <c r="E2" s="27" t="s">
        <v>19</v>
      </c>
    </row>
    <row r="3" spans="2:12" s="29" customFormat="1" ht="15" customHeight="1">
      <c r="E3" s="43" t="str">
        <f>Indice!E3</f>
        <v>Enero 2025</v>
      </c>
    </row>
    <row r="4" spans="2:12" s="31" customFormat="1" ht="20.25" customHeight="1">
      <c r="B4" s="39"/>
      <c r="C4" s="25" t="s">
        <v>39</v>
      </c>
    </row>
    <row r="5" spans="2:12" s="31" customFormat="1" ht="12.75" customHeight="1">
      <c r="B5" s="39"/>
      <c r="C5" s="42"/>
    </row>
    <row r="6" spans="2:12" s="31" customFormat="1" ht="13.5" customHeight="1">
      <c r="B6" s="39"/>
      <c r="C6" s="38"/>
      <c r="D6" s="37"/>
      <c r="E6" s="37"/>
    </row>
    <row r="7" spans="2:12" s="31" customFormat="1" ht="12.75" customHeight="1">
      <c r="B7" s="39"/>
      <c r="C7" s="201" t="s">
        <v>121</v>
      </c>
      <c r="D7" s="37"/>
      <c r="E7" s="41"/>
    </row>
    <row r="8" spans="2:12" s="31" customFormat="1" ht="12.75" customHeight="1">
      <c r="B8" s="39"/>
      <c r="C8" s="201"/>
      <c r="D8" s="37"/>
      <c r="E8" s="41"/>
      <c r="F8" s="44"/>
      <c r="J8" s="30"/>
      <c r="K8" s="30"/>
      <c r="L8" s="30"/>
    </row>
    <row r="9" spans="2:12" s="31" customFormat="1" ht="12.75" customHeight="1">
      <c r="B9" s="39"/>
      <c r="C9" s="201"/>
      <c r="D9" s="37"/>
      <c r="E9" s="41"/>
      <c r="F9" s="44"/>
      <c r="J9" s="30"/>
      <c r="K9" s="78"/>
      <c r="L9" s="79"/>
    </row>
    <row r="10" spans="2:12" s="31" customFormat="1" ht="12.75" customHeight="1">
      <c r="B10" s="39"/>
      <c r="C10" s="32"/>
      <c r="D10" s="37"/>
      <c r="E10" s="41"/>
      <c r="F10" s="44"/>
      <c r="J10" s="30"/>
      <c r="K10" s="80"/>
      <c r="L10" s="77"/>
    </row>
    <row r="11" spans="2:12" s="31" customFormat="1" ht="12.75" customHeight="1">
      <c r="B11" s="39"/>
      <c r="D11" s="37"/>
      <c r="E11" s="37"/>
      <c r="F11" s="44"/>
      <c r="J11" s="30"/>
      <c r="K11" s="80"/>
      <c r="L11" s="77"/>
    </row>
    <row r="12" spans="2:12" s="31" customFormat="1" ht="12.75" customHeight="1">
      <c r="B12" s="39"/>
      <c r="C12" s="40"/>
      <c r="D12" s="37"/>
      <c r="E12" s="37"/>
      <c r="F12" s="44"/>
      <c r="J12" s="30"/>
    </row>
    <row r="13" spans="2:12" s="31" customFormat="1" ht="12.75" customHeight="1">
      <c r="B13" s="39"/>
      <c r="C13" s="40"/>
      <c r="D13" s="37"/>
      <c r="E13" s="37"/>
      <c r="J13" s="30"/>
      <c r="K13" s="30"/>
      <c r="L13" s="30"/>
    </row>
    <row r="14" spans="2:12" s="31" customFormat="1" ht="12.75" customHeight="1">
      <c r="B14" s="39"/>
      <c r="C14" s="40"/>
      <c r="D14" s="37"/>
      <c r="E14" s="37"/>
      <c r="F14" s="141"/>
    </row>
    <row r="15" spans="2:12" s="31" customFormat="1" ht="12.75" customHeight="1">
      <c r="B15" s="39"/>
      <c r="C15" s="40"/>
      <c r="D15" s="37"/>
      <c r="E15" s="37"/>
      <c r="F15" s="44"/>
    </row>
    <row r="16" spans="2:12" s="31" customFormat="1" ht="12.75" customHeight="1">
      <c r="B16" s="39"/>
      <c r="D16" s="37"/>
      <c r="E16" s="37"/>
      <c r="F16" s="44"/>
      <c r="J16" s="30"/>
      <c r="K16" s="30"/>
      <c r="L16" s="30"/>
    </row>
    <row r="17" spans="2:12" s="31" customFormat="1" ht="12.75" customHeight="1">
      <c r="B17" s="39"/>
      <c r="D17" s="37"/>
      <c r="E17" s="37"/>
      <c r="F17" s="44"/>
      <c r="J17" s="30"/>
      <c r="K17" s="30"/>
      <c r="L17" s="30"/>
    </row>
    <row r="18" spans="2:12" s="31" customFormat="1" ht="12.75" customHeight="1">
      <c r="B18" s="39"/>
      <c r="D18" s="37"/>
      <c r="E18" s="37"/>
      <c r="F18" s="143"/>
      <c r="J18" s="30"/>
      <c r="K18" s="30"/>
      <c r="L18" s="30"/>
    </row>
    <row r="19" spans="2:12" s="31" customFormat="1" ht="12.75" customHeight="1">
      <c r="B19" s="39"/>
      <c r="C19" s="40"/>
      <c r="D19" s="37"/>
      <c r="E19" s="37"/>
      <c r="F19" s="44"/>
      <c r="J19" s="30"/>
      <c r="K19" s="30"/>
      <c r="L19" s="30"/>
    </row>
    <row r="20" spans="2:12" s="31" customFormat="1" ht="12.75" customHeight="1">
      <c r="B20" s="39"/>
      <c r="C20" s="38"/>
      <c r="D20" s="37"/>
      <c r="E20" s="37"/>
      <c r="F20" s="44"/>
      <c r="J20" s="30"/>
      <c r="K20" s="30"/>
    </row>
    <row r="21" spans="2:12" s="31" customFormat="1" ht="12.75" customHeight="1">
      <c r="B21" s="39"/>
      <c r="C21" s="38"/>
      <c r="D21" s="37"/>
      <c r="E21" s="37"/>
      <c r="F21" s="44"/>
      <c r="J21" s="30"/>
      <c r="K21" s="30"/>
    </row>
    <row r="22" spans="2:12" s="31" customFormat="1" ht="12.75" customHeight="1">
      <c r="B22" s="39"/>
      <c r="C22" s="38"/>
      <c r="D22" s="37"/>
      <c r="E22" s="37"/>
      <c r="J22" s="30"/>
      <c r="K22" s="30"/>
    </row>
    <row r="23" spans="2:12">
      <c r="E23" s="36"/>
      <c r="J23" s="31"/>
      <c r="K23" s="31"/>
    </row>
    <row r="24" spans="2:12" ht="12.75" customHeight="1">
      <c r="C24" s="201" t="s">
        <v>129</v>
      </c>
      <c r="E24" s="35"/>
      <c r="J24" s="31"/>
      <c r="K24" s="31"/>
    </row>
    <row r="25" spans="2:12">
      <c r="C25" s="201"/>
      <c r="E25" s="34"/>
      <c r="J25" s="30"/>
      <c r="K25" s="30"/>
    </row>
    <row r="26" spans="2:12" ht="12.75" customHeight="1">
      <c r="C26" s="33"/>
      <c r="J26" s="78"/>
      <c r="K26" s="79"/>
    </row>
    <row r="27" spans="2:12">
      <c r="C27" s="64"/>
      <c r="J27" s="80"/>
      <c r="K27" s="77"/>
    </row>
    <row r="28" spans="2:12">
      <c r="C28" s="64"/>
      <c r="F28" s="44"/>
      <c r="J28" s="80"/>
      <c r="K28" s="77"/>
    </row>
    <row r="29" spans="2:12">
      <c r="C29" s="32"/>
      <c r="F29" s="44"/>
      <c r="J29" s="31"/>
      <c r="K29" s="31"/>
    </row>
    <row r="30" spans="2:12">
      <c r="F30" s="44"/>
      <c r="J30" s="30"/>
      <c r="K30" s="30"/>
    </row>
    <row r="31" spans="2:12">
      <c r="F31" s="44"/>
      <c r="J31" s="31"/>
      <c r="K31" s="31"/>
    </row>
    <row r="32" spans="2:12">
      <c r="F32" s="44"/>
      <c r="J32" s="31"/>
      <c r="K32" s="31"/>
    </row>
    <row r="33" spans="6:11">
      <c r="F33" s="44"/>
      <c r="J33" s="30"/>
      <c r="K33" s="30"/>
    </row>
    <row r="34" spans="6:11">
      <c r="F34" s="44"/>
      <c r="J34" s="30"/>
      <c r="K34" s="30"/>
    </row>
    <row r="35" spans="6:11">
      <c r="F35" s="44"/>
      <c r="J35" s="30"/>
      <c r="K35" s="30"/>
    </row>
    <row r="36" spans="6:11">
      <c r="F36" s="44"/>
      <c r="J36" s="30"/>
      <c r="K36" s="30"/>
    </row>
    <row r="37" spans="6:11">
      <c r="F37" s="44"/>
    </row>
    <row r="38" spans="6:11">
      <c r="F38" s="44"/>
    </row>
    <row r="39" spans="6:11">
      <c r="F39" s="44"/>
    </row>
  </sheetData>
  <mergeCells count="2">
    <mergeCell ref="C24:C25"/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5"/>
  <sheetViews>
    <sheetView showGridLines="0" showRowColHeaders="0" zoomScaleNormal="100" workbookViewId="0">
      <selection activeCell="C12" sqref="C12"/>
    </sheetView>
  </sheetViews>
  <sheetFormatPr baseColWidth="10" defaultRowHeight="15"/>
  <cols>
    <col min="1" max="1" width="0.28515625" style="47" customWidth="1"/>
    <col min="2" max="2" width="2.5703125" style="47" customWidth="1"/>
    <col min="3" max="3" width="23.5703125" style="47" customWidth="1"/>
    <col min="4" max="4" width="1.42578125" style="47" customWidth="1"/>
    <col min="5" max="5" width="105.5703125" style="47" customWidth="1"/>
    <col min="6" max="6" width="10.5703125" style="47" customWidth="1"/>
    <col min="7" max="7" width="21" style="47" bestFit="1" customWidth="1"/>
    <col min="8" max="244" width="11.42578125" style="47"/>
    <col min="245" max="245" width="0.28515625" style="47" customWidth="1"/>
    <col min="246" max="246" width="2.5703125" style="47" customWidth="1"/>
    <col min="247" max="247" width="18.5703125" style="47" customWidth="1"/>
    <col min="248" max="248" width="1.42578125" style="47" customWidth="1"/>
    <col min="249" max="249" width="30.5703125" style="47" customWidth="1"/>
    <col min="250" max="254" width="10.5703125" style="47" customWidth="1"/>
    <col min="255" max="500" width="11.42578125" style="47"/>
    <col min="501" max="501" width="0.28515625" style="47" customWidth="1"/>
    <col min="502" max="502" width="2.5703125" style="47" customWidth="1"/>
    <col min="503" max="503" width="18.5703125" style="47" customWidth="1"/>
    <col min="504" max="504" width="1.42578125" style="47" customWidth="1"/>
    <col min="505" max="505" width="30.5703125" style="47" customWidth="1"/>
    <col min="506" max="510" width="10.5703125" style="47" customWidth="1"/>
    <col min="511" max="756" width="11.42578125" style="47"/>
    <col min="757" max="757" width="0.28515625" style="47" customWidth="1"/>
    <col min="758" max="758" width="2.5703125" style="47" customWidth="1"/>
    <col min="759" max="759" width="18.5703125" style="47" customWidth="1"/>
    <col min="760" max="760" width="1.42578125" style="47" customWidth="1"/>
    <col min="761" max="761" width="30.5703125" style="47" customWidth="1"/>
    <col min="762" max="766" width="10.5703125" style="47" customWidth="1"/>
    <col min="767" max="1012" width="11.42578125" style="47"/>
    <col min="1013" max="1013" width="0.28515625" style="47" customWidth="1"/>
    <col min="1014" max="1014" width="2.5703125" style="47" customWidth="1"/>
    <col min="1015" max="1015" width="18.5703125" style="47" customWidth="1"/>
    <col min="1016" max="1016" width="1.42578125" style="47" customWidth="1"/>
    <col min="1017" max="1017" width="30.5703125" style="47" customWidth="1"/>
    <col min="1018" max="1022" width="10.5703125" style="47" customWidth="1"/>
    <col min="1023" max="1268" width="11.42578125" style="47"/>
    <col min="1269" max="1269" width="0.28515625" style="47" customWidth="1"/>
    <col min="1270" max="1270" width="2.5703125" style="47" customWidth="1"/>
    <col min="1271" max="1271" width="18.5703125" style="47" customWidth="1"/>
    <col min="1272" max="1272" width="1.42578125" style="47" customWidth="1"/>
    <col min="1273" max="1273" width="30.5703125" style="47" customWidth="1"/>
    <col min="1274" max="1278" width="10.5703125" style="47" customWidth="1"/>
    <col min="1279" max="1524" width="11.42578125" style="47"/>
    <col min="1525" max="1525" width="0.28515625" style="47" customWidth="1"/>
    <col min="1526" max="1526" width="2.5703125" style="47" customWidth="1"/>
    <col min="1527" max="1527" width="18.5703125" style="47" customWidth="1"/>
    <col min="1528" max="1528" width="1.42578125" style="47" customWidth="1"/>
    <col min="1529" max="1529" width="30.5703125" style="47" customWidth="1"/>
    <col min="1530" max="1534" width="10.5703125" style="47" customWidth="1"/>
    <col min="1535" max="1780" width="11.42578125" style="47"/>
    <col min="1781" max="1781" width="0.28515625" style="47" customWidth="1"/>
    <col min="1782" max="1782" width="2.5703125" style="47" customWidth="1"/>
    <col min="1783" max="1783" width="18.5703125" style="47" customWidth="1"/>
    <col min="1784" max="1784" width="1.42578125" style="47" customWidth="1"/>
    <col min="1785" max="1785" width="30.5703125" style="47" customWidth="1"/>
    <col min="1786" max="1790" width="10.5703125" style="47" customWidth="1"/>
    <col min="1791" max="2036" width="11.42578125" style="47"/>
    <col min="2037" max="2037" width="0.28515625" style="47" customWidth="1"/>
    <col min="2038" max="2038" width="2.5703125" style="47" customWidth="1"/>
    <col min="2039" max="2039" width="18.5703125" style="47" customWidth="1"/>
    <col min="2040" max="2040" width="1.42578125" style="47" customWidth="1"/>
    <col min="2041" max="2041" width="30.5703125" style="47" customWidth="1"/>
    <col min="2042" max="2046" width="10.5703125" style="47" customWidth="1"/>
    <col min="2047" max="2292" width="11.42578125" style="47"/>
    <col min="2293" max="2293" width="0.28515625" style="47" customWidth="1"/>
    <col min="2294" max="2294" width="2.5703125" style="47" customWidth="1"/>
    <col min="2295" max="2295" width="18.5703125" style="47" customWidth="1"/>
    <col min="2296" max="2296" width="1.42578125" style="47" customWidth="1"/>
    <col min="2297" max="2297" width="30.5703125" style="47" customWidth="1"/>
    <col min="2298" max="2302" width="10.5703125" style="47" customWidth="1"/>
    <col min="2303" max="2548" width="11.42578125" style="47"/>
    <col min="2549" max="2549" width="0.28515625" style="47" customWidth="1"/>
    <col min="2550" max="2550" width="2.5703125" style="47" customWidth="1"/>
    <col min="2551" max="2551" width="18.5703125" style="47" customWidth="1"/>
    <col min="2552" max="2552" width="1.42578125" style="47" customWidth="1"/>
    <col min="2553" max="2553" width="30.5703125" style="47" customWidth="1"/>
    <col min="2554" max="2558" width="10.5703125" style="47" customWidth="1"/>
    <col min="2559" max="2804" width="11.42578125" style="47"/>
    <col min="2805" max="2805" width="0.28515625" style="47" customWidth="1"/>
    <col min="2806" max="2806" width="2.5703125" style="47" customWidth="1"/>
    <col min="2807" max="2807" width="18.5703125" style="47" customWidth="1"/>
    <col min="2808" max="2808" width="1.42578125" style="47" customWidth="1"/>
    <col min="2809" max="2809" width="30.5703125" style="47" customWidth="1"/>
    <col min="2810" max="2814" width="10.5703125" style="47" customWidth="1"/>
    <col min="2815" max="3060" width="11.42578125" style="47"/>
    <col min="3061" max="3061" width="0.28515625" style="47" customWidth="1"/>
    <col min="3062" max="3062" width="2.5703125" style="47" customWidth="1"/>
    <col min="3063" max="3063" width="18.5703125" style="47" customWidth="1"/>
    <col min="3064" max="3064" width="1.42578125" style="47" customWidth="1"/>
    <col min="3065" max="3065" width="30.5703125" style="47" customWidth="1"/>
    <col min="3066" max="3070" width="10.5703125" style="47" customWidth="1"/>
    <col min="3071" max="3316" width="11.42578125" style="47"/>
    <col min="3317" max="3317" width="0.28515625" style="47" customWidth="1"/>
    <col min="3318" max="3318" width="2.5703125" style="47" customWidth="1"/>
    <col min="3319" max="3319" width="18.5703125" style="47" customWidth="1"/>
    <col min="3320" max="3320" width="1.42578125" style="47" customWidth="1"/>
    <col min="3321" max="3321" width="30.5703125" style="47" customWidth="1"/>
    <col min="3322" max="3326" width="10.5703125" style="47" customWidth="1"/>
    <col min="3327" max="3572" width="11.42578125" style="47"/>
    <col min="3573" max="3573" width="0.28515625" style="47" customWidth="1"/>
    <col min="3574" max="3574" width="2.5703125" style="47" customWidth="1"/>
    <col min="3575" max="3575" width="18.5703125" style="47" customWidth="1"/>
    <col min="3576" max="3576" width="1.42578125" style="47" customWidth="1"/>
    <col min="3577" max="3577" width="30.5703125" style="47" customWidth="1"/>
    <col min="3578" max="3582" width="10.5703125" style="47" customWidth="1"/>
    <col min="3583" max="3828" width="11.42578125" style="47"/>
    <col min="3829" max="3829" width="0.28515625" style="47" customWidth="1"/>
    <col min="3830" max="3830" width="2.5703125" style="47" customWidth="1"/>
    <col min="3831" max="3831" width="18.5703125" style="47" customWidth="1"/>
    <col min="3832" max="3832" width="1.42578125" style="47" customWidth="1"/>
    <col min="3833" max="3833" width="30.5703125" style="47" customWidth="1"/>
    <col min="3834" max="3838" width="10.5703125" style="47" customWidth="1"/>
    <col min="3839" max="4084" width="11.42578125" style="47"/>
    <col min="4085" max="4085" width="0.28515625" style="47" customWidth="1"/>
    <col min="4086" max="4086" width="2.5703125" style="47" customWidth="1"/>
    <col min="4087" max="4087" width="18.5703125" style="47" customWidth="1"/>
    <col min="4088" max="4088" width="1.42578125" style="47" customWidth="1"/>
    <col min="4089" max="4089" width="30.5703125" style="47" customWidth="1"/>
    <col min="4090" max="4094" width="10.5703125" style="47" customWidth="1"/>
    <col min="4095" max="4340" width="11.42578125" style="47"/>
    <col min="4341" max="4341" width="0.28515625" style="47" customWidth="1"/>
    <col min="4342" max="4342" width="2.5703125" style="47" customWidth="1"/>
    <col min="4343" max="4343" width="18.5703125" style="47" customWidth="1"/>
    <col min="4344" max="4344" width="1.42578125" style="47" customWidth="1"/>
    <col min="4345" max="4345" width="30.5703125" style="47" customWidth="1"/>
    <col min="4346" max="4350" width="10.5703125" style="47" customWidth="1"/>
    <col min="4351" max="4596" width="11.42578125" style="47"/>
    <col min="4597" max="4597" width="0.28515625" style="47" customWidth="1"/>
    <col min="4598" max="4598" width="2.5703125" style="47" customWidth="1"/>
    <col min="4599" max="4599" width="18.5703125" style="47" customWidth="1"/>
    <col min="4600" max="4600" width="1.42578125" style="47" customWidth="1"/>
    <col min="4601" max="4601" width="30.5703125" style="47" customWidth="1"/>
    <col min="4602" max="4606" width="10.5703125" style="47" customWidth="1"/>
    <col min="4607" max="4852" width="11.42578125" style="47"/>
    <col min="4853" max="4853" width="0.28515625" style="47" customWidth="1"/>
    <col min="4854" max="4854" width="2.5703125" style="47" customWidth="1"/>
    <col min="4855" max="4855" width="18.5703125" style="47" customWidth="1"/>
    <col min="4856" max="4856" width="1.42578125" style="47" customWidth="1"/>
    <col min="4857" max="4857" width="30.5703125" style="47" customWidth="1"/>
    <col min="4858" max="4862" width="10.5703125" style="47" customWidth="1"/>
    <col min="4863" max="5108" width="11.42578125" style="47"/>
    <col min="5109" max="5109" width="0.28515625" style="47" customWidth="1"/>
    <col min="5110" max="5110" width="2.5703125" style="47" customWidth="1"/>
    <col min="5111" max="5111" width="18.5703125" style="47" customWidth="1"/>
    <col min="5112" max="5112" width="1.42578125" style="47" customWidth="1"/>
    <col min="5113" max="5113" width="30.5703125" style="47" customWidth="1"/>
    <col min="5114" max="5118" width="10.5703125" style="47" customWidth="1"/>
    <col min="5119" max="5364" width="11.42578125" style="47"/>
    <col min="5365" max="5365" width="0.28515625" style="47" customWidth="1"/>
    <col min="5366" max="5366" width="2.5703125" style="47" customWidth="1"/>
    <col min="5367" max="5367" width="18.5703125" style="47" customWidth="1"/>
    <col min="5368" max="5368" width="1.42578125" style="47" customWidth="1"/>
    <col min="5369" max="5369" width="30.5703125" style="47" customWidth="1"/>
    <col min="5370" max="5374" width="10.5703125" style="47" customWidth="1"/>
    <col min="5375" max="5620" width="11.42578125" style="47"/>
    <col min="5621" max="5621" width="0.28515625" style="47" customWidth="1"/>
    <col min="5622" max="5622" width="2.5703125" style="47" customWidth="1"/>
    <col min="5623" max="5623" width="18.5703125" style="47" customWidth="1"/>
    <col min="5624" max="5624" width="1.42578125" style="47" customWidth="1"/>
    <col min="5625" max="5625" width="30.5703125" style="47" customWidth="1"/>
    <col min="5626" max="5630" width="10.5703125" style="47" customWidth="1"/>
    <col min="5631" max="5876" width="11.42578125" style="47"/>
    <col min="5877" max="5877" width="0.28515625" style="47" customWidth="1"/>
    <col min="5878" max="5878" width="2.5703125" style="47" customWidth="1"/>
    <col min="5879" max="5879" width="18.5703125" style="47" customWidth="1"/>
    <col min="5880" max="5880" width="1.42578125" style="47" customWidth="1"/>
    <col min="5881" max="5881" width="30.5703125" style="47" customWidth="1"/>
    <col min="5882" max="5886" width="10.5703125" style="47" customWidth="1"/>
    <col min="5887" max="6132" width="11.42578125" style="47"/>
    <col min="6133" max="6133" width="0.28515625" style="47" customWidth="1"/>
    <col min="6134" max="6134" width="2.5703125" style="47" customWidth="1"/>
    <col min="6135" max="6135" width="18.5703125" style="47" customWidth="1"/>
    <col min="6136" max="6136" width="1.42578125" style="47" customWidth="1"/>
    <col min="6137" max="6137" width="30.5703125" style="47" customWidth="1"/>
    <col min="6138" max="6142" width="10.5703125" style="47" customWidth="1"/>
    <col min="6143" max="6388" width="11.42578125" style="47"/>
    <col min="6389" max="6389" width="0.28515625" style="47" customWidth="1"/>
    <col min="6390" max="6390" width="2.5703125" style="47" customWidth="1"/>
    <col min="6391" max="6391" width="18.5703125" style="47" customWidth="1"/>
    <col min="6392" max="6392" width="1.42578125" style="47" customWidth="1"/>
    <col min="6393" max="6393" width="30.5703125" style="47" customWidth="1"/>
    <col min="6394" max="6398" width="10.5703125" style="47" customWidth="1"/>
    <col min="6399" max="6644" width="11.42578125" style="47"/>
    <col min="6645" max="6645" width="0.28515625" style="47" customWidth="1"/>
    <col min="6646" max="6646" width="2.5703125" style="47" customWidth="1"/>
    <col min="6647" max="6647" width="18.5703125" style="47" customWidth="1"/>
    <col min="6648" max="6648" width="1.42578125" style="47" customWidth="1"/>
    <col min="6649" max="6649" width="30.5703125" style="47" customWidth="1"/>
    <col min="6650" max="6654" width="10.5703125" style="47" customWidth="1"/>
    <col min="6655" max="6900" width="11.42578125" style="47"/>
    <col min="6901" max="6901" width="0.28515625" style="47" customWidth="1"/>
    <col min="6902" max="6902" width="2.5703125" style="47" customWidth="1"/>
    <col min="6903" max="6903" width="18.5703125" style="47" customWidth="1"/>
    <col min="6904" max="6904" width="1.42578125" style="47" customWidth="1"/>
    <col min="6905" max="6905" width="30.5703125" style="47" customWidth="1"/>
    <col min="6906" max="6910" width="10.5703125" style="47" customWidth="1"/>
    <col min="6911" max="7156" width="11.42578125" style="47"/>
    <col min="7157" max="7157" width="0.28515625" style="47" customWidth="1"/>
    <col min="7158" max="7158" width="2.5703125" style="47" customWidth="1"/>
    <col min="7159" max="7159" width="18.5703125" style="47" customWidth="1"/>
    <col min="7160" max="7160" width="1.42578125" style="47" customWidth="1"/>
    <col min="7161" max="7161" width="30.5703125" style="47" customWidth="1"/>
    <col min="7162" max="7166" width="10.5703125" style="47" customWidth="1"/>
    <col min="7167" max="7412" width="11.42578125" style="47"/>
    <col min="7413" max="7413" width="0.28515625" style="47" customWidth="1"/>
    <col min="7414" max="7414" width="2.5703125" style="47" customWidth="1"/>
    <col min="7415" max="7415" width="18.5703125" style="47" customWidth="1"/>
    <col min="7416" max="7416" width="1.42578125" style="47" customWidth="1"/>
    <col min="7417" max="7417" width="30.5703125" style="47" customWidth="1"/>
    <col min="7418" max="7422" width="10.5703125" style="47" customWidth="1"/>
    <col min="7423" max="7668" width="11.42578125" style="47"/>
    <col min="7669" max="7669" width="0.28515625" style="47" customWidth="1"/>
    <col min="7670" max="7670" width="2.5703125" style="47" customWidth="1"/>
    <col min="7671" max="7671" width="18.5703125" style="47" customWidth="1"/>
    <col min="7672" max="7672" width="1.42578125" style="47" customWidth="1"/>
    <col min="7673" max="7673" width="30.5703125" style="47" customWidth="1"/>
    <col min="7674" max="7678" width="10.5703125" style="47" customWidth="1"/>
    <col min="7679" max="7924" width="11.42578125" style="47"/>
    <col min="7925" max="7925" width="0.28515625" style="47" customWidth="1"/>
    <col min="7926" max="7926" width="2.5703125" style="47" customWidth="1"/>
    <col min="7927" max="7927" width="18.5703125" style="47" customWidth="1"/>
    <col min="7928" max="7928" width="1.42578125" style="47" customWidth="1"/>
    <col min="7929" max="7929" width="30.5703125" style="47" customWidth="1"/>
    <col min="7930" max="7934" width="10.5703125" style="47" customWidth="1"/>
    <col min="7935" max="8180" width="11.42578125" style="47"/>
    <col min="8181" max="8181" width="0.28515625" style="47" customWidth="1"/>
    <col min="8182" max="8182" width="2.5703125" style="47" customWidth="1"/>
    <col min="8183" max="8183" width="18.5703125" style="47" customWidth="1"/>
    <col min="8184" max="8184" width="1.42578125" style="47" customWidth="1"/>
    <col min="8185" max="8185" width="30.5703125" style="47" customWidth="1"/>
    <col min="8186" max="8190" width="10.5703125" style="47" customWidth="1"/>
    <col min="8191" max="8436" width="11.42578125" style="47"/>
    <col min="8437" max="8437" width="0.28515625" style="47" customWidth="1"/>
    <col min="8438" max="8438" width="2.5703125" style="47" customWidth="1"/>
    <col min="8439" max="8439" width="18.5703125" style="47" customWidth="1"/>
    <col min="8440" max="8440" width="1.42578125" style="47" customWidth="1"/>
    <col min="8441" max="8441" width="30.5703125" style="47" customWidth="1"/>
    <col min="8442" max="8446" width="10.5703125" style="47" customWidth="1"/>
    <col min="8447" max="8692" width="11.42578125" style="47"/>
    <col min="8693" max="8693" width="0.28515625" style="47" customWidth="1"/>
    <col min="8694" max="8694" width="2.5703125" style="47" customWidth="1"/>
    <col min="8695" max="8695" width="18.5703125" style="47" customWidth="1"/>
    <col min="8696" max="8696" width="1.42578125" style="47" customWidth="1"/>
    <col min="8697" max="8697" width="30.5703125" style="47" customWidth="1"/>
    <col min="8698" max="8702" width="10.5703125" style="47" customWidth="1"/>
    <col min="8703" max="8948" width="11.42578125" style="47"/>
    <col min="8949" max="8949" width="0.28515625" style="47" customWidth="1"/>
    <col min="8950" max="8950" width="2.5703125" style="47" customWidth="1"/>
    <col min="8951" max="8951" width="18.5703125" style="47" customWidth="1"/>
    <col min="8952" max="8952" width="1.42578125" style="47" customWidth="1"/>
    <col min="8953" max="8953" width="30.5703125" style="47" customWidth="1"/>
    <col min="8954" max="8958" width="10.5703125" style="47" customWidth="1"/>
    <col min="8959" max="9204" width="11.42578125" style="47"/>
    <col min="9205" max="9205" width="0.28515625" style="47" customWidth="1"/>
    <col min="9206" max="9206" width="2.5703125" style="47" customWidth="1"/>
    <col min="9207" max="9207" width="18.5703125" style="47" customWidth="1"/>
    <col min="9208" max="9208" width="1.42578125" style="47" customWidth="1"/>
    <col min="9209" max="9209" width="30.5703125" style="47" customWidth="1"/>
    <col min="9210" max="9214" width="10.5703125" style="47" customWidth="1"/>
    <col min="9215" max="9460" width="11.42578125" style="47"/>
    <col min="9461" max="9461" width="0.28515625" style="47" customWidth="1"/>
    <col min="9462" max="9462" width="2.5703125" style="47" customWidth="1"/>
    <col min="9463" max="9463" width="18.5703125" style="47" customWidth="1"/>
    <col min="9464" max="9464" width="1.42578125" style="47" customWidth="1"/>
    <col min="9465" max="9465" width="30.5703125" style="47" customWidth="1"/>
    <col min="9466" max="9470" width="10.5703125" style="47" customWidth="1"/>
    <col min="9471" max="9716" width="11.42578125" style="47"/>
    <col min="9717" max="9717" width="0.28515625" style="47" customWidth="1"/>
    <col min="9718" max="9718" width="2.5703125" style="47" customWidth="1"/>
    <col min="9719" max="9719" width="18.5703125" style="47" customWidth="1"/>
    <col min="9720" max="9720" width="1.42578125" style="47" customWidth="1"/>
    <col min="9721" max="9721" width="30.5703125" style="47" customWidth="1"/>
    <col min="9722" max="9726" width="10.5703125" style="47" customWidth="1"/>
    <col min="9727" max="9972" width="11.42578125" style="47"/>
    <col min="9973" max="9973" width="0.28515625" style="47" customWidth="1"/>
    <col min="9974" max="9974" width="2.5703125" style="47" customWidth="1"/>
    <col min="9975" max="9975" width="18.5703125" style="47" customWidth="1"/>
    <col min="9976" max="9976" width="1.42578125" style="47" customWidth="1"/>
    <col min="9977" max="9977" width="30.5703125" style="47" customWidth="1"/>
    <col min="9978" max="9982" width="10.5703125" style="47" customWidth="1"/>
    <col min="9983" max="10228" width="11.42578125" style="47"/>
    <col min="10229" max="10229" width="0.28515625" style="47" customWidth="1"/>
    <col min="10230" max="10230" width="2.5703125" style="47" customWidth="1"/>
    <col min="10231" max="10231" width="18.5703125" style="47" customWidth="1"/>
    <col min="10232" max="10232" width="1.42578125" style="47" customWidth="1"/>
    <col min="10233" max="10233" width="30.5703125" style="47" customWidth="1"/>
    <col min="10234" max="10238" width="10.5703125" style="47" customWidth="1"/>
    <col min="10239" max="10484" width="11.42578125" style="47"/>
    <col min="10485" max="10485" width="0.28515625" style="47" customWidth="1"/>
    <col min="10486" max="10486" width="2.5703125" style="47" customWidth="1"/>
    <col min="10487" max="10487" width="18.5703125" style="47" customWidth="1"/>
    <col min="10488" max="10488" width="1.42578125" style="47" customWidth="1"/>
    <col min="10489" max="10489" width="30.5703125" style="47" customWidth="1"/>
    <col min="10490" max="10494" width="10.5703125" style="47" customWidth="1"/>
    <col min="10495" max="10740" width="11.42578125" style="47"/>
    <col min="10741" max="10741" width="0.28515625" style="47" customWidth="1"/>
    <col min="10742" max="10742" width="2.5703125" style="47" customWidth="1"/>
    <col min="10743" max="10743" width="18.5703125" style="47" customWidth="1"/>
    <col min="10744" max="10744" width="1.42578125" style="47" customWidth="1"/>
    <col min="10745" max="10745" width="30.5703125" style="47" customWidth="1"/>
    <col min="10746" max="10750" width="10.5703125" style="47" customWidth="1"/>
    <col min="10751" max="10996" width="11.42578125" style="47"/>
    <col min="10997" max="10997" width="0.28515625" style="47" customWidth="1"/>
    <col min="10998" max="10998" width="2.5703125" style="47" customWidth="1"/>
    <col min="10999" max="10999" width="18.5703125" style="47" customWidth="1"/>
    <col min="11000" max="11000" width="1.42578125" style="47" customWidth="1"/>
    <col min="11001" max="11001" width="30.5703125" style="47" customWidth="1"/>
    <col min="11002" max="11006" width="10.5703125" style="47" customWidth="1"/>
    <col min="11007" max="11252" width="11.42578125" style="47"/>
    <col min="11253" max="11253" width="0.28515625" style="47" customWidth="1"/>
    <col min="11254" max="11254" width="2.5703125" style="47" customWidth="1"/>
    <col min="11255" max="11255" width="18.5703125" style="47" customWidth="1"/>
    <col min="11256" max="11256" width="1.42578125" style="47" customWidth="1"/>
    <col min="11257" max="11257" width="30.5703125" style="47" customWidth="1"/>
    <col min="11258" max="11262" width="10.5703125" style="47" customWidth="1"/>
    <col min="11263" max="11508" width="11.42578125" style="47"/>
    <col min="11509" max="11509" width="0.28515625" style="47" customWidth="1"/>
    <col min="11510" max="11510" width="2.5703125" style="47" customWidth="1"/>
    <col min="11511" max="11511" width="18.5703125" style="47" customWidth="1"/>
    <col min="11512" max="11512" width="1.42578125" style="47" customWidth="1"/>
    <col min="11513" max="11513" width="30.5703125" style="47" customWidth="1"/>
    <col min="11514" max="11518" width="10.5703125" style="47" customWidth="1"/>
    <col min="11519" max="11764" width="11.42578125" style="47"/>
    <col min="11765" max="11765" width="0.28515625" style="47" customWidth="1"/>
    <col min="11766" max="11766" width="2.5703125" style="47" customWidth="1"/>
    <col min="11767" max="11767" width="18.5703125" style="47" customWidth="1"/>
    <col min="11768" max="11768" width="1.42578125" style="47" customWidth="1"/>
    <col min="11769" max="11769" width="30.5703125" style="47" customWidth="1"/>
    <col min="11770" max="11774" width="10.5703125" style="47" customWidth="1"/>
    <col min="11775" max="12020" width="11.42578125" style="47"/>
    <col min="12021" max="12021" width="0.28515625" style="47" customWidth="1"/>
    <col min="12022" max="12022" width="2.5703125" style="47" customWidth="1"/>
    <col min="12023" max="12023" width="18.5703125" style="47" customWidth="1"/>
    <col min="12024" max="12024" width="1.42578125" style="47" customWidth="1"/>
    <col min="12025" max="12025" width="30.5703125" style="47" customWidth="1"/>
    <col min="12026" max="12030" width="10.5703125" style="47" customWidth="1"/>
    <col min="12031" max="12276" width="11.42578125" style="47"/>
    <col min="12277" max="12277" width="0.28515625" style="47" customWidth="1"/>
    <col min="12278" max="12278" width="2.5703125" style="47" customWidth="1"/>
    <col min="12279" max="12279" width="18.5703125" style="47" customWidth="1"/>
    <col min="12280" max="12280" width="1.42578125" style="47" customWidth="1"/>
    <col min="12281" max="12281" width="30.5703125" style="47" customWidth="1"/>
    <col min="12282" max="12286" width="10.5703125" style="47" customWidth="1"/>
    <col min="12287" max="12532" width="11.42578125" style="47"/>
    <col min="12533" max="12533" width="0.28515625" style="47" customWidth="1"/>
    <col min="12534" max="12534" width="2.5703125" style="47" customWidth="1"/>
    <col min="12535" max="12535" width="18.5703125" style="47" customWidth="1"/>
    <col min="12536" max="12536" width="1.42578125" style="47" customWidth="1"/>
    <col min="12537" max="12537" width="30.5703125" style="47" customWidth="1"/>
    <col min="12538" max="12542" width="10.5703125" style="47" customWidth="1"/>
    <col min="12543" max="12788" width="11.42578125" style="47"/>
    <col min="12789" max="12789" width="0.28515625" style="47" customWidth="1"/>
    <col min="12790" max="12790" width="2.5703125" style="47" customWidth="1"/>
    <col min="12791" max="12791" width="18.5703125" style="47" customWidth="1"/>
    <col min="12792" max="12792" width="1.42578125" style="47" customWidth="1"/>
    <col min="12793" max="12793" width="30.5703125" style="47" customWidth="1"/>
    <col min="12794" max="12798" width="10.5703125" style="47" customWidth="1"/>
    <col min="12799" max="13044" width="11.42578125" style="47"/>
    <col min="13045" max="13045" width="0.28515625" style="47" customWidth="1"/>
    <col min="13046" max="13046" width="2.5703125" style="47" customWidth="1"/>
    <col min="13047" max="13047" width="18.5703125" style="47" customWidth="1"/>
    <col min="13048" max="13048" width="1.42578125" style="47" customWidth="1"/>
    <col min="13049" max="13049" width="30.5703125" style="47" customWidth="1"/>
    <col min="13050" max="13054" width="10.5703125" style="47" customWidth="1"/>
    <col min="13055" max="13300" width="11.42578125" style="47"/>
    <col min="13301" max="13301" width="0.28515625" style="47" customWidth="1"/>
    <col min="13302" max="13302" width="2.5703125" style="47" customWidth="1"/>
    <col min="13303" max="13303" width="18.5703125" style="47" customWidth="1"/>
    <col min="13304" max="13304" width="1.42578125" style="47" customWidth="1"/>
    <col min="13305" max="13305" width="30.5703125" style="47" customWidth="1"/>
    <col min="13306" max="13310" width="10.5703125" style="47" customWidth="1"/>
    <col min="13311" max="13556" width="11.42578125" style="47"/>
    <col min="13557" max="13557" width="0.28515625" style="47" customWidth="1"/>
    <col min="13558" max="13558" width="2.5703125" style="47" customWidth="1"/>
    <col min="13559" max="13559" width="18.5703125" style="47" customWidth="1"/>
    <col min="13560" max="13560" width="1.42578125" style="47" customWidth="1"/>
    <col min="13561" max="13561" width="30.5703125" style="47" customWidth="1"/>
    <col min="13562" max="13566" width="10.5703125" style="47" customWidth="1"/>
    <col min="13567" max="13812" width="11.42578125" style="47"/>
    <col min="13813" max="13813" width="0.28515625" style="47" customWidth="1"/>
    <col min="13814" max="13814" width="2.5703125" style="47" customWidth="1"/>
    <col min="13815" max="13815" width="18.5703125" style="47" customWidth="1"/>
    <col min="13816" max="13816" width="1.42578125" style="47" customWidth="1"/>
    <col min="13817" max="13817" width="30.5703125" style="47" customWidth="1"/>
    <col min="13818" max="13822" width="10.5703125" style="47" customWidth="1"/>
    <col min="13823" max="14068" width="11.42578125" style="47"/>
    <col min="14069" max="14069" width="0.28515625" style="47" customWidth="1"/>
    <col min="14070" max="14070" width="2.5703125" style="47" customWidth="1"/>
    <col min="14071" max="14071" width="18.5703125" style="47" customWidth="1"/>
    <col min="14072" max="14072" width="1.42578125" style="47" customWidth="1"/>
    <col min="14073" max="14073" width="30.5703125" style="47" customWidth="1"/>
    <col min="14074" max="14078" width="10.5703125" style="47" customWidth="1"/>
    <col min="14079" max="14324" width="11.42578125" style="47"/>
    <col min="14325" max="14325" width="0.28515625" style="47" customWidth="1"/>
    <col min="14326" max="14326" width="2.5703125" style="47" customWidth="1"/>
    <col min="14327" max="14327" width="18.5703125" style="47" customWidth="1"/>
    <col min="14328" max="14328" width="1.42578125" style="47" customWidth="1"/>
    <col min="14329" max="14329" width="30.5703125" style="47" customWidth="1"/>
    <col min="14330" max="14334" width="10.5703125" style="47" customWidth="1"/>
    <col min="14335" max="14580" width="11.42578125" style="47"/>
    <col min="14581" max="14581" width="0.28515625" style="47" customWidth="1"/>
    <col min="14582" max="14582" width="2.5703125" style="47" customWidth="1"/>
    <col min="14583" max="14583" width="18.5703125" style="47" customWidth="1"/>
    <col min="14584" max="14584" width="1.42578125" style="47" customWidth="1"/>
    <col min="14585" max="14585" width="30.5703125" style="47" customWidth="1"/>
    <col min="14586" max="14590" width="10.5703125" style="47" customWidth="1"/>
    <col min="14591" max="14836" width="11.42578125" style="47"/>
    <col min="14837" max="14837" width="0.28515625" style="47" customWidth="1"/>
    <col min="14838" max="14838" width="2.5703125" style="47" customWidth="1"/>
    <col min="14839" max="14839" width="18.5703125" style="47" customWidth="1"/>
    <col min="14840" max="14840" width="1.42578125" style="47" customWidth="1"/>
    <col min="14841" max="14841" width="30.5703125" style="47" customWidth="1"/>
    <col min="14842" max="14846" width="10.5703125" style="47" customWidth="1"/>
    <col min="14847" max="15092" width="11.42578125" style="47"/>
    <col min="15093" max="15093" width="0.28515625" style="47" customWidth="1"/>
    <col min="15094" max="15094" width="2.5703125" style="47" customWidth="1"/>
    <col min="15095" max="15095" width="18.5703125" style="47" customWidth="1"/>
    <col min="15096" max="15096" width="1.42578125" style="47" customWidth="1"/>
    <col min="15097" max="15097" width="30.5703125" style="47" customWidth="1"/>
    <col min="15098" max="15102" width="10.5703125" style="47" customWidth="1"/>
    <col min="15103" max="15348" width="11.42578125" style="47"/>
    <col min="15349" max="15349" width="0.28515625" style="47" customWidth="1"/>
    <col min="15350" max="15350" width="2.5703125" style="47" customWidth="1"/>
    <col min="15351" max="15351" width="18.5703125" style="47" customWidth="1"/>
    <col min="15352" max="15352" width="1.42578125" style="47" customWidth="1"/>
    <col min="15353" max="15353" width="30.5703125" style="47" customWidth="1"/>
    <col min="15354" max="15358" width="10.5703125" style="47" customWidth="1"/>
    <col min="15359" max="15604" width="11.42578125" style="47"/>
    <col min="15605" max="15605" width="0.28515625" style="47" customWidth="1"/>
    <col min="15606" max="15606" width="2.5703125" style="47" customWidth="1"/>
    <col min="15607" max="15607" width="18.5703125" style="47" customWidth="1"/>
    <col min="15608" max="15608" width="1.42578125" style="47" customWidth="1"/>
    <col min="15609" max="15609" width="30.5703125" style="47" customWidth="1"/>
    <col min="15610" max="15614" width="10.5703125" style="47" customWidth="1"/>
    <col min="15615" max="15860" width="11.42578125" style="47"/>
    <col min="15861" max="15861" width="0.28515625" style="47" customWidth="1"/>
    <col min="15862" max="15862" width="2.5703125" style="47" customWidth="1"/>
    <col min="15863" max="15863" width="18.5703125" style="47" customWidth="1"/>
    <col min="15864" max="15864" width="1.42578125" style="47" customWidth="1"/>
    <col min="15865" max="15865" width="30.5703125" style="47" customWidth="1"/>
    <col min="15866" max="15870" width="10.5703125" style="47" customWidth="1"/>
    <col min="15871" max="16116" width="11.42578125" style="47"/>
    <col min="16117" max="16117" width="0.28515625" style="47" customWidth="1"/>
    <col min="16118" max="16118" width="2.5703125" style="47" customWidth="1"/>
    <col min="16119" max="16119" width="18.5703125" style="47" customWidth="1"/>
    <col min="16120" max="16120" width="1.42578125" style="47" customWidth="1"/>
    <col min="16121" max="16121" width="30.5703125" style="47" customWidth="1"/>
    <col min="16122" max="16126" width="10.5703125" style="47" customWidth="1"/>
    <col min="16127" max="16384" width="11.42578125" style="47"/>
  </cols>
  <sheetData>
    <row r="1" spans="1:20" ht="0.75" customHeight="1"/>
    <row r="2" spans="1:20" ht="21" customHeight="1">
      <c r="E2" s="27" t="s">
        <v>19</v>
      </c>
      <c r="F2" s="63"/>
      <c r="G2" s="63"/>
    </row>
    <row r="3" spans="1:20" ht="15" customHeight="1">
      <c r="E3" s="43" t="str">
        <f>Indice!E3</f>
        <v>Enero 2025</v>
      </c>
      <c r="F3" s="62"/>
      <c r="G3" s="62"/>
    </row>
    <row r="4" spans="1:20" s="58" customFormat="1" ht="20.25" customHeight="1">
      <c r="B4" s="57"/>
      <c r="C4" s="25" t="s">
        <v>39</v>
      </c>
    </row>
    <row r="5" spans="1:20" s="58" customFormat="1" ht="12.75" customHeight="1">
      <c r="B5" s="57"/>
      <c r="C5" s="61"/>
    </row>
    <row r="6" spans="1:20" s="58" customFormat="1" ht="13.5" customHeight="1">
      <c r="B6" s="57"/>
      <c r="C6" s="56"/>
      <c r="D6" s="55"/>
      <c r="E6" s="55"/>
      <c r="G6" s="45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0" s="58" customFormat="1" ht="12.75" customHeight="1">
      <c r="B7" s="57"/>
      <c r="C7" s="202" t="s">
        <v>123</v>
      </c>
      <c r="D7" s="55"/>
      <c r="E7" s="59"/>
    </row>
    <row r="8" spans="1:20" ht="12.75" customHeight="1">
      <c r="A8" s="58"/>
      <c r="B8" s="57"/>
      <c r="C8" s="202"/>
      <c r="D8" s="55"/>
      <c r="E8" s="59"/>
      <c r="F8" s="54"/>
    </row>
    <row r="9" spans="1:20" ht="12.75" customHeight="1">
      <c r="A9" s="58"/>
      <c r="B9" s="57"/>
      <c r="C9" s="189"/>
      <c r="D9" s="55"/>
      <c r="E9" s="59"/>
      <c r="F9" s="54"/>
    </row>
    <row r="10" spans="1:20" ht="12.75" customHeight="1">
      <c r="A10" s="58"/>
      <c r="B10" s="57"/>
      <c r="C10" s="32"/>
      <c r="D10" s="55"/>
      <c r="E10" s="59"/>
      <c r="F10" s="54"/>
    </row>
    <row r="11" spans="1:20" ht="12.75" customHeight="1">
      <c r="A11" s="58"/>
      <c r="B11" s="57"/>
      <c r="D11" s="55"/>
      <c r="E11" s="55"/>
      <c r="F11" s="54"/>
    </row>
    <row r="12" spans="1:20" ht="12.75" customHeight="1">
      <c r="A12" s="58"/>
      <c r="B12" s="57"/>
      <c r="D12" s="55"/>
      <c r="E12" s="55"/>
      <c r="F12" s="54"/>
    </row>
    <row r="13" spans="1:20" ht="12.75" customHeight="1">
      <c r="A13" s="58"/>
      <c r="B13" s="57"/>
      <c r="C13" s="56"/>
      <c r="D13" s="55"/>
      <c r="E13" s="55"/>
      <c r="F13" s="54"/>
    </row>
    <row r="14" spans="1:20" ht="12.75" customHeight="1">
      <c r="A14" s="58"/>
      <c r="B14" s="57"/>
      <c r="C14" s="56"/>
      <c r="D14" s="55"/>
      <c r="E14" s="55"/>
      <c r="F14" s="54"/>
    </row>
    <row r="15" spans="1:20" ht="12.75" customHeight="1">
      <c r="A15" s="58"/>
      <c r="B15" s="57"/>
      <c r="C15" s="56"/>
      <c r="D15" s="55"/>
      <c r="E15" s="55"/>
      <c r="F15" s="54"/>
    </row>
    <row r="16" spans="1:20" ht="12.75" customHeight="1">
      <c r="A16" s="58"/>
      <c r="B16" s="57"/>
      <c r="C16" s="56"/>
      <c r="D16" s="55"/>
      <c r="E16" s="55"/>
      <c r="F16" s="54"/>
    </row>
    <row r="17" spans="1:7" ht="12.75" customHeight="1">
      <c r="A17" s="58"/>
      <c r="B17" s="57"/>
      <c r="C17" s="56"/>
      <c r="D17" s="55"/>
      <c r="E17" s="55"/>
      <c r="F17" s="54"/>
    </row>
    <row r="18" spans="1:7" ht="12.75" customHeight="1">
      <c r="A18" s="58"/>
      <c r="B18" s="57"/>
      <c r="C18" s="56"/>
      <c r="D18" s="55"/>
      <c r="E18" s="55"/>
      <c r="F18" s="142"/>
    </row>
    <row r="19" spans="1:7" ht="12.75" customHeight="1">
      <c r="A19" s="58"/>
      <c r="B19" s="57"/>
      <c r="C19" s="56"/>
      <c r="D19" s="55"/>
      <c r="E19" s="55"/>
      <c r="F19" s="54"/>
    </row>
    <row r="20" spans="1:7" ht="12.75" customHeight="1">
      <c r="A20" s="58"/>
      <c r="B20" s="57"/>
      <c r="C20" s="56"/>
      <c r="D20" s="55"/>
      <c r="E20" s="55"/>
      <c r="F20" s="54"/>
    </row>
    <row r="21" spans="1:7" ht="12.75" customHeight="1"/>
    <row r="22" spans="1:7" ht="12.75" customHeight="1"/>
    <row r="23" spans="1:7" ht="12.75" customHeight="1"/>
    <row r="24" spans="1:7" ht="12.75" customHeight="1">
      <c r="E24" s="51"/>
      <c r="F24" s="51"/>
      <c r="G24" s="51"/>
    </row>
    <row r="25" spans="1:7" ht="12.75" customHeight="1">
      <c r="E25" s="48" t="s">
        <v>80</v>
      </c>
      <c r="F25" s="53"/>
      <c r="G25" s="53"/>
    </row>
    <row r="26" spans="1:7" ht="12.75" customHeight="1">
      <c r="E26" s="48" t="s">
        <v>44</v>
      </c>
      <c r="F26" s="53"/>
      <c r="G26" s="53"/>
    </row>
    <row r="27" spans="1:7" ht="12.75" customHeight="1">
      <c r="E27" s="52"/>
      <c r="F27" s="51"/>
      <c r="G27" s="51"/>
    </row>
    <row r="28" spans="1:7" ht="12.75" customHeight="1">
      <c r="F28" s="51"/>
      <c r="G28" s="51"/>
    </row>
    <row r="29" spans="1:7" ht="12.75" customHeight="1">
      <c r="F29" s="51"/>
      <c r="G29" s="51"/>
    </row>
    <row r="30" spans="1:7" ht="12.75" customHeight="1">
      <c r="E30" s="50"/>
    </row>
    <row r="31" spans="1:7" ht="12.75" customHeight="1"/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>
      <c r="E44" s="48"/>
    </row>
    <row r="45" spans="5:5">
      <c r="E45" s="48"/>
    </row>
  </sheetData>
  <mergeCells count="1"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80"/>
  <sheetViews>
    <sheetView topLeftCell="A7" zoomScale="80" zoomScaleNormal="80" workbookViewId="0">
      <selection activeCell="C150" sqref="C150"/>
    </sheetView>
  </sheetViews>
  <sheetFormatPr baseColWidth="10" defaultColWidth="11.42578125" defaultRowHeight="12"/>
  <cols>
    <col min="1" max="1" width="19.28515625" style="99" customWidth="1"/>
    <col min="2" max="2" width="13.28515625" style="99" bestFit="1" customWidth="1"/>
    <col min="3" max="3" width="24.5703125" style="99" bestFit="1" customWidth="1"/>
    <col min="4" max="4" width="20.28515625" style="99" bestFit="1" customWidth="1"/>
    <col min="5" max="5" width="20.85546875" style="99" bestFit="1" customWidth="1"/>
    <col min="6" max="6" width="33.28515625" style="99" bestFit="1" customWidth="1"/>
    <col min="7" max="7" width="24.5703125" style="99" bestFit="1" customWidth="1"/>
    <col min="8" max="8" width="20.28515625" style="99" bestFit="1" customWidth="1"/>
    <col min="9" max="9" width="20.85546875" style="99" bestFit="1" customWidth="1"/>
    <col min="10" max="10" width="28.7109375" style="99" bestFit="1" customWidth="1"/>
    <col min="11" max="11" width="29" style="99" bestFit="1" customWidth="1"/>
    <col min="12" max="12" width="24.7109375" style="99" bestFit="1" customWidth="1"/>
    <col min="13" max="13" width="25.28515625" style="99" bestFit="1" customWidth="1"/>
    <col min="14" max="14" width="33.28515625" style="99" bestFit="1" customWidth="1"/>
    <col min="15" max="33" width="23" style="99" customWidth="1"/>
    <col min="34" max="16384" width="11.42578125" style="99"/>
  </cols>
  <sheetData>
    <row r="1" spans="1:33">
      <c r="A1" s="126" t="s">
        <v>59</v>
      </c>
      <c r="B1" s="126" t="s">
        <v>63</v>
      </c>
    </row>
    <row r="2" spans="1:33">
      <c r="A2" s="127" t="s">
        <v>108</v>
      </c>
      <c r="B2" s="127" t="s">
        <v>109</v>
      </c>
    </row>
    <row r="4" spans="1:33" ht="15">
      <c r="A4" s="128" t="s">
        <v>59</v>
      </c>
      <c r="B4" s="203" t="s">
        <v>108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</row>
    <row r="5" spans="1:33" ht="15">
      <c r="A5" s="128" t="s">
        <v>60</v>
      </c>
      <c r="B5" s="205" t="s">
        <v>15</v>
      </c>
      <c r="C5" s="206"/>
      <c r="D5" s="206"/>
      <c r="E5" s="206"/>
      <c r="F5" s="206"/>
      <c r="G5" s="206"/>
      <c r="H5" s="206"/>
      <c r="I5" s="207"/>
      <c r="J5" s="205" t="s">
        <v>14</v>
      </c>
      <c r="K5" s="206"/>
      <c r="L5" s="206"/>
      <c r="M5" s="206"/>
      <c r="N5" s="206"/>
      <c r="O5" s="206"/>
      <c r="P5" s="206"/>
      <c r="Q5" s="207"/>
      <c r="R5" s="205" t="s">
        <v>49</v>
      </c>
      <c r="S5" s="206"/>
      <c r="T5" s="206"/>
      <c r="U5" s="206"/>
      <c r="V5" s="206"/>
      <c r="W5" s="206"/>
      <c r="X5" s="206"/>
      <c r="Y5" s="207"/>
      <c r="Z5" s="205" t="s">
        <v>50</v>
      </c>
      <c r="AA5" s="206"/>
      <c r="AB5" s="206"/>
      <c r="AC5" s="206"/>
      <c r="AD5" s="206"/>
      <c r="AE5" s="206"/>
      <c r="AF5" s="206"/>
      <c r="AG5" s="206"/>
    </row>
    <row r="6" spans="1:33">
      <c r="A6" s="128" t="s">
        <v>61</v>
      </c>
      <c r="B6" s="154" t="s">
        <v>51</v>
      </c>
      <c r="C6" s="154" t="s">
        <v>52</v>
      </c>
      <c r="D6" s="154" t="s">
        <v>53</v>
      </c>
      <c r="E6" s="154" t="s">
        <v>54</v>
      </c>
      <c r="F6" s="154" t="s">
        <v>55</v>
      </c>
      <c r="G6" s="154" t="s">
        <v>56</v>
      </c>
      <c r="H6" s="154" t="s">
        <v>57</v>
      </c>
      <c r="I6" s="154" t="s">
        <v>58</v>
      </c>
      <c r="J6" s="154" t="s">
        <v>51</v>
      </c>
      <c r="K6" s="154" t="s">
        <v>52</v>
      </c>
      <c r="L6" s="154" t="s">
        <v>53</v>
      </c>
      <c r="M6" s="154" t="s">
        <v>54</v>
      </c>
      <c r="N6" s="154" t="s">
        <v>55</v>
      </c>
      <c r="O6" s="154" t="s">
        <v>56</v>
      </c>
      <c r="P6" s="154" t="s">
        <v>57</v>
      </c>
      <c r="Q6" s="154" t="s">
        <v>58</v>
      </c>
      <c r="R6" s="154" t="s">
        <v>51</v>
      </c>
      <c r="S6" s="154" t="s">
        <v>52</v>
      </c>
      <c r="T6" s="154" t="s">
        <v>53</v>
      </c>
      <c r="U6" s="154" t="s">
        <v>54</v>
      </c>
      <c r="V6" s="154" t="s">
        <v>55</v>
      </c>
      <c r="W6" s="154" t="s">
        <v>56</v>
      </c>
      <c r="X6" s="154" t="s">
        <v>57</v>
      </c>
      <c r="Y6" s="154" t="s">
        <v>58</v>
      </c>
      <c r="Z6" s="154" t="s">
        <v>51</v>
      </c>
      <c r="AA6" s="154" t="s">
        <v>52</v>
      </c>
      <c r="AB6" s="154" t="s">
        <v>53</v>
      </c>
      <c r="AC6" s="154" t="s">
        <v>54</v>
      </c>
      <c r="AD6" s="154" t="s">
        <v>55</v>
      </c>
      <c r="AE6" s="154" t="s">
        <v>56</v>
      </c>
      <c r="AF6" s="154" t="s">
        <v>57</v>
      </c>
      <c r="AG6" s="154" t="s">
        <v>58</v>
      </c>
    </row>
    <row r="7" spans="1:33">
      <c r="A7" s="128" t="s">
        <v>62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</row>
    <row r="8" spans="1:33">
      <c r="A8" s="127" t="s">
        <v>12</v>
      </c>
      <c r="B8" s="162">
        <v>0</v>
      </c>
      <c r="C8" s="162">
        <v>0</v>
      </c>
      <c r="D8" s="163">
        <v>0</v>
      </c>
      <c r="E8" s="162">
        <v>0</v>
      </c>
      <c r="F8" s="162">
        <v>0</v>
      </c>
      <c r="G8" s="163">
        <v>0</v>
      </c>
      <c r="H8" s="162">
        <v>0</v>
      </c>
      <c r="I8" s="163">
        <v>0</v>
      </c>
      <c r="J8" s="162">
        <v>0</v>
      </c>
      <c r="K8" s="162">
        <v>0</v>
      </c>
      <c r="L8" s="163">
        <v>0</v>
      </c>
      <c r="M8" s="162">
        <v>0</v>
      </c>
      <c r="N8" s="162">
        <v>0</v>
      </c>
      <c r="O8" s="163">
        <v>0</v>
      </c>
      <c r="P8" s="162">
        <v>0</v>
      </c>
      <c r="Q8" s="163">
        <v>0</v>
      </c>
      <c r="R8" s="162">
        <v>0</v>
      </c>
      <c r="S8" s="162">
        <v>0</v>
      </c>
      <c r="T8" s="163">
        <v>0</v>
      </c>
      <c r="U8" s="162">
        <v>0</v>
      </c>
      <c r="V8" s="162">
        <v>0</v>
      </c>
      <c r="W8" s="163">
        <v>0</v>
      </c>
      <c r="X8" s="162">
        <v>0</v>
      </c>
      <c r="Y8" s="163">
        <v>0</v>
      </c>
      <c r="Z8" s="162">
        <v>285.24200000000002</v>
      </c>
      <c r="AA8" s="162">
        <v>296.24200000000002</v>
      </c>
      <c r="AB8" s="163">
        <v>-3.7131804400000003E-2</v>
      </c>
      <c r="AC8" s="162">
        <v>285.24200000000002</v>
      </c>
      <c r="AD8" s="162">
        <v>296.24200000000002</v>
      </c>
      <c r="AE8" s="163">
        <v>-3.7131804400000003E-2</v>
      </c>
      <c r="AF8" s="162">
        <v>3378.4409999999998</v>
      </c>
      <c r="AG8" s="163">
        <v>-2.6385317799999999E-2</v>
      </c>
    </row>
    <row r="9" spans="1:33">
      <c r="A9" s="127" t="s">
        <v>11</v>
      </c>
      <c r="B9" s="162">
        <v>0</v>
      </c>
      <c r="C9" s="162">
        <v>0</v>
      </c>
      <c r="D9" s="163">
        <v>0</v>
      </c>
      <c r="E9" s="162">
        <v>0</v>
      </c>
      <c r="F9" s="162">
        <v>0</v>
      </c>
      <c r="G9" s="163">
        <v>0</v>
      </c>
      <c r="H9" s="162">
        <v>0</v>
      </c>
      <c r="I9" s="163">
        <v>0</v>
      </c>
      <c r="J9" s="162">
        <v>0</v>
      </c>
      <c r="K9" s="162">
        <v>0</v>
      </c>
      <c r="L9" s="163">
        <v>0</v>
      </c>
      <c r="M9" s="162">
        <v>0</v>
      </c>
      <c r="N9" s="162">
        <v>0</v>
      </c>
      <c r="O9" s="163">
        <v>0</v>
      </c>
      <c r="P9" s="162">
        <v>0</v>
      </c>
      <c r="Q9" s="163">
        <v>0</v>
      </c>
      <c r="R9" s="162">
        <v>4631.9679999999998</v>
      </c>
      <c r="S9" s="162">
        <v>0</v>
      </c>
      <c r="T9" s="163">
        <v>0</v>
      </c>
      <c r="U9" s="162">
        <v>4631.9679999999998</v>
      </c>
      <c r="V9" s="162">
        <v>0</v>
      </c>
      <c r="W9" s="163">
        <v>0</v>
      </c>
      <c r="X9" s="162">
        <v>62682.707999999999</v>
      </c>
      <c r="Y9" s="163">
        <v>-0.17452324259999999</v>
      </c>
      <c r="Z9" s="162">
        <v>0</v>
      </c>
      <c r="AA9" s="162">
        <v>0</v>
      </c>
      <c r="AB9" s="163">
        <v>0</v>
      </c>
      <c r="AC9" s="162">
        <v>0</v>
      </c>
      <c r="AD9" s="162">
        <v>0</v>
      </c>
      <c r="AE9" s="163">
        <v>0</v>
      </c>
      <c r="AF9" s="162">
        <v>0</v>
      </c>
      <c r="AG9" s="163">
        <v>0</v>
      </c>
    </row>
    <row r="10" spans="1:33">
      <c r="A10" s="127" t="s">
        <v>70</v>
      </c>
      <c r="B10" s="162">
        <v>17089.555</v>
      </c>
      <c r="C10" s="162">
        <v>15945.093000000001</v>
      </c>
      <c r="D10" s="163">
        <v>7.1775185000000005E-2</v>
      </c>
      <c r="E10" s="162">
        <v>17089.555</v>
      </c>
      <c r="F10" s="162">
        <v>15945.093000000001</v>
      </c>
      <c r="G10" s="163">
        <v>7.1775185000000005E-2</v>
      </c>
      <c r="H10" s="162">
        <v>187019.44200000001</v>
      </c>
      <c r="I10" s="163">
        <v>9.3718693000000002E-3</v>
      </c>
      <c r="J10" s="162">
        <v>17414.43</v>
      </c>
      <c r="K10" s="162">
        <v>15293.357</v>
      </c>
      <c r="L10" s="163">
        <v>0.13869244010000001</v>
      </c>
      <c r="M10" s="162">
        <v>17414.43</v>
      </c>
      <c r="N10" s="162">
        <v>15293.357</v>
      </c>
      <c r="O10" s="163">
        <v>0.13869244010000001</v>
      </c>
      <c r="P10" s="162">
        <v>193436.34700000001</v>
      </c>
      <c r="Q10" s="163">
        <v>1.2382699E-2</v>
      </c>
      <c r="R10" s="162">
        <v>8585.4889999999996</v>
      </c>
      <c r="S10" s="162">
        <v>6197.9409999999998</v>
      </c>
      <c r="T10" s="163">
        <v>0.38521631620000002</v>
      </c>
      <c r="U10" s="162">
        <v>8585.4889999999996</v>
      </c>
      <c r="V10" s="162">
        <v>6197.9409999999998</v>
      </c>
      <c r="W10" s="163">
        <v>0.38521631620000002</v>
      </c>
      <c r="X10" s="162">
        <v>264211.46399999998</v>
      </c>
      <c r="Y10" s="163">
        <v>1.5776941900000001E-2</v>
      </c>
      <c r="Z10" s="162">
        <v>164446.28099999999</v>
      </c>
      <c r="AA10" s="162">
        <v>169881.87400000001</v>
      </c>
      <c r="AB10" s="163">
        <v>-3.1996309399999999E-2</v>
      </c>
      <c r="AC10" s="162">
        <v>164446.28099999999</v>
      </c>
      <c r="AD10" s="162">
        <v>169881.87400000001</v>
      </c>
      <c r="AE10" s="163">
        <v>-3.1996309399999999E-2</v>
      </c>
      <c r="AF10" s="162">
        <v>1872511.399</v>
      </c>
      <c r="AG10" s="163">
        <v>-3.50655473E-2</v>
      </c>
    </row>
    <row r="11" spans="1:33">
      <c r="A11" s="127" t="s">
        <v>9</v>
      </c>
      <c r="B11" s="162">
        <v>3.4870000000000001</v>
      </c>
      <c r="C11" s="162">
        <v>3.6589999999999998</v>
      </c>
      <c r="D11" s="163">
        <v>-4.7007379100000003E-2</v>
      </c>
      <c r="E11" s="162">
        <v>3.4870000000000001</v>
      </c>
      <c r="F11" s="162">
        <v>3.6589999999999998</v>
      </c>
      <c r="G11" s="163">
        <v>-4.7007379100000003E-2</v>
      </c>
      <c r="H11" s="162">
        <v>639.9</v>
      </c>
      <c r="I11" s="163">
        <v>1.5275207072000001</v>
      </c>
      <c r="J11" s="162">
        <v>1.403</v>
      </c>
      <c r="K11" s="162">
        <v>2.448</v>
      </c>
      <c r="L11" s="163">
        <v>-0.42687908499999999</v>
      </c>
      <c r="M11" s="162">
        <v>1.403</v>
      </c>
      <c r="N11" s="162">
        <v>2.448</v>
      </c>
      <c r="O11" s="163">
        <v>-0.42687908499999999</v>
      </c>
      <c r="P11" s="162">
        <v>251.18199999999999</v>
      </c>
      <c r="Q11" s="163">
        <v>4.8276182079999996</v>
      </c>
      <c r="R11" s="162">
        <v>23827.804</v>
      </c>
      <c r="S11" s="162">
        <v>25499.687000000002</v>
      </c>
      <c r="T11" s="163">
        <v>-6.5564843999999997E-2</v>
      </c>
      <c r="U11" s="162">
        <v>23827.804</v>
      </c>
      <c r="V11" s="162">
        <v>25499.687000000002</v>
      </c>
      <c r="W11" s="163">
        <v>-6.5564843999999997E-2</v>
      </c>
      <c r="X11" s="162">
        <v>412278.78899999999</v>
      </c>
      <c r="Y11" s="163">
        <v>-0.13691290749999999</v>
      </c>
      <c r="Z11" s="162">
        <v>37045.735999999997</v>
      </c>
      <c r="AA11" s="162">
        <v>28281.392</v>
      </c>
      <c r="AB11" s="163">
        <v>0.30989790039999998</v>
      </c>
      <c r="AC11" s="162">
        <v>37045.735999999997</v>
      </c>
      <c r="AD11" s="162">
        <v>28281.392</v>
      </c>
      <c r="AE11" s="163">
        <v>0.30989790039999998</v>
      </c>
      <c r="AF11" s="162">
        <v>262543.15899999999</v>
      </c>
      <c r="AG11" s="163">
        <v>-3.5946077299999997E-2</v>
      </c>
    </row>
    <row r="12" spans="1:33">
      <c r="A12" s="127" t="s">
        <v>8</v>
      </c>
      <c r="B12" s="162">
        <v>0</v>
      </c>
      <c r="C12" s="162">
        <v>0</v>
      </c>
      <c r="D12" s="163">
        <v>0</v>
      </c>
      <c r="E12" s="162">
        <v>0</v>
      </c>
      <c r="F12" s="162">
        <v>0</v>
      </c>
      <c r="G12" s="163">
        <v>0</v>
      </c>
      <c r="H12" s="162">
        <v>0</v>
      </c>
      <c r="I12" s="163">
        <v>0</v>
      </c>
      <c r="J12" s="162">
        <v>0</v>
      </c>
      <c r="K12" s="162">
        <v>0</v>
      </c>
      <c r="L12" s="163">
        <v>0</v>
      </c>
      <c r="M12" s="162">
        <v>0</v>
      </c>
      <c r="N12" s="162">
        <v>0</v>
      </c>
      <c r="O12" s="163">
        <v>0</v>
      </c>
      <c r="P12" s="162">
        <v>0</v>
      </c>
      <c r="Q12" s="163">
        <v>0</v>
      </c>
      <c r="R12" s="162">
        <v>0</v>
      </c>
      <c r="S12" s="162">
        <v>0</v>
      </c>
      <c r="T12" s="163">
        <v>0</v>
      </c>
      <c r="U12" s="162">
        <v>0</v>
      </c>
      <c r="V12" s="162">
        <v>0</v>
      </c>
      <c r="W12" s="163">
        <v>0</v>
      </c>
      <c r="X12" s="162">
        <v>0</v>
      </c>
      <c r="Y12" s="163">
        <v>0</v>
      </c>
      <c r="Z12" s="162">
        <v>82867.551999999996</v>
      </c>
      <c r="AA12" s="162">
        <v>121758.736</v>
      </c>
      <c r="AB12" s="163">
        <v>-0.31941185719999998</v>
      </c>
      <c r="AC12" s="162">
        <v>82867.551999999996</v>
      </c>
      <c r="AD12" s="162">
        <v>121758.736</v>
      </c>
      <c r="AE12" s="163">
        <v>-0.31941185719999998</v>
      </c>
      <c r="AF12" s="162">
        <v>1140467.8540000001</v>
      </c>
      <c r="AG12" s="163">
        <v>-9.1632287699999995E-2</v>
      </c>
    </row>
    <row r="13" spans="1:33">
      <c r="A13" s="127" t="s">
        <v>25</v>
      </c>
      <c r="B13" s="162">
        <v>0</v>
      </c>
      <c r="C13" s="162">
        <v>0</v>
      </c>
      <c r="D13" s="163">
        <v>0</v>
      </c>
      <c r="E13" s="162">
        <v>0</v>
      </c>
      <c r="F13" s="162">
        <v>0</v>
      </c>
      <c r="G13" s="163">
        <v>0</v>
      </c>
      <c r="H13" s="162">
        <v>0</v>
      </c>
      <c r="I13" s="163">
        <v>0</v>
      </c>
      <c r="J13" s="162">
        <v>0</v>
      </c>
      <c r="K13" s="162">
        <v>0</v>
      </c>
      <c r="L13" s="163">
        <v>0</v>
      </c>
      <c r="M13" s="162">
        <v>0</v>
      </c>
      <c r="N13" s="162">
        <v>0</v>
      </c>
      <c r="O13" s="163">
        <v>0</v>
      </c>
      <c r="P13" s="162">
        <v>0</v>
      </c>
      <c r="Q13" s="163">
        <v>0</v>
      </c>
      <c r="R13" s="162">
        <v>284762.47399999999</v>
      </c>
      <c r="S13" s="162">
        <v>245660.033</v>
      </c>
      <c r="T13" s="163">
        <v>0.15917298599999999</v>
      </c>
      <c r="U13" s="162">
        <v>284762.47399999999</v>
      </c>
      <c r="V13" s="162">
        <v>245660.033</v>
      </c>
      <c r="W13" s="163">
        <v>0.15917298599999999</v>
      </c>
      <c r="X13" s="162">
        <v>2951818.2990000001</v>
      </c>
      <c r="Y13" s="163">
        <v>-4.6174484199999997E-2</v>
      </c>
      <c r="Z13" s="162">
        <v>342565.68199999997</v>
      </c>
      <c r="AA13" s="162">
        <v>349626.75199999998</v>
      </c>
      <c r="AB13" s="163">
        <v>-2.01960232E-2</v>
      </c>
      <c r="AC13" s="162">
        <v>342565.68199999997</v>
      </c>
      <c r="AD13" s="162">
        <v>349626.75199999998</v>
      </c>
      <c r="AE13" s="163">
        <v>-2.01960232E-2</v>
      </c>
      <c r="AF13" s="162">
        <v>3728481.5720000002</v>
      </c>
      <c r="AG13" s="163">
        <v>-1.39089482E-2</v>
      </c>
    </row>
    <row r="14" spans="1:33">
      <c r="A14" s="127" t="s">
        <v>24</v>
      </c>
      <c r="B14" s="162">
        <v>0</v>
      </c>
      <c r="C14" s="162">
        <v>0</v>
      </c>
      <c r="D14" s="163">
        <v>0</v>
      </c>
      <c r="E14" s="162">
        <v>0</v>
      </c>
      <c r="F14" s="162">
        <v>0</v>
      </c>
      <c r="G14" s="163">
        <v>0</v>
      </c>
      <c r="H14" s="162">
        <v>0</v>
      </c>
      <c r="I14" s="163">
        <v>0</v>
      </c>
      <c r="J14" s="162">
        <v>0</v>
      </c>
      <c r="K14" s="162">
        <v>0</v>
      </c>
      <c r="L14" s="163">
        <v>0</v>
      </c>
      <c r="M14" s="162">
        <v>0</v>
      </c>
      <c r="N14" s="162">
        <v>0</v>
      </c>
      <c r="O14" s="163">
        <v>0</v>
      </c>
      <c r="P14" s="162">
        <v>0</v>
      </c>
      <c r="Q14" s="163">
        <v>0</v>
      </c>
      <c r="R14" s="162">
        <v>0</v>
      </c>
      <c r="S14" s="162">
        <v>0</v>
      </c>
      <c r="T14" s="163">
        <v>0</v>
      </c>
      <c r="U14" s="162">
        <v>0</v>
      </c>
      <c r="V14" s="162">
        <v>0</v>
      </c>
      <c r="W14" s="163">
        <v>0</v>
      </c>
      <c r="X14" s="162">
        <v>0</v>
      </c>
      <c r="Y14" s="163">
        <v>0</v>
      </c>
      <c r="Z14" s="162">
        <v>0</v>
      </c>
      <c r="AA14" s="162">
        <v>0</v>
      </c>
      <c r="AB14" s="163">
        <v>0</v>
      </c>
      <c r="AC14" s="162">
        <v>0</v>
      </c>
      <c r="AD14" s="162">
        <v>0</v>
      </c>
      <c r="AE14" s="163">
        <v>0</v>
      </c>
      <c r="AF14" s="162">
        <v>0</v>
      </c>
      <c r="AG14" s="163">
        <v>-1</v>
      </c>
    </row>
    <row r="15" spans="1:33">
      <c r="A15" s="127" t="s">
        <v>6</v>
      </c>
      <c r="B15" s="162">
        <v>0</v>
      </c>
      <c r="C15" s="162">
        <v>0</v>
      </c>
      <c r="D15" s="163">
        <v>0</v>
      </c>
      <c r="E15" s="162">
        <v>0</v>
      </c>
      <c r="F15" s="162">
        <v>0</v>
      </c>
      <c r="G15" s="163">
        <v>0</v>
      </c>
      <c r="H15" s="162">
        <v>0</v>
      </c>
      <c r="I15" s="163">
        <v>0</v>
      </c>
      <c r="J15" s="162">
        <v>0</v>
      </c>
      <c r="K15" s="162">
        <v>0</v>
      </c>
      <c r="L15" s="163">
        <v>0</v>
      </c>
      <c r="M15" s="162">
        <v>0</v>
      </c>
      <c r="N15" s="162">
        <v>0</v>
      </c>
      <c r="O15" s="163">
        <v>0</v>
      </c>
      <c r="P15" s="162">
        <v>0</v>
      </c>
      <c r="Q15" s="163">
        <v>0</v>
      </c>
      <c r="R15" s="162">
        <v>0</v>
      </c>
      <c r="S15" s="162">
        <v>0</v>
      </c>
      <c r="T15" s="163">
        <v>0</v>
      </c>
      <c r="U15" s="162">
        <v>0</v>
      </c>
      <c r="V15" s="162">
        <v>0</v>
      </c>
      <c r="W15" s="163">
        <v>0</v>
      </c>
      <c r="X15" s="162">
        <v>0</v>
      </c>
      <c r="Y15" s="163">
        <v>0</v>
      </c>
      <c r="Z15" s="162">
        <v>1249.5550000000001</v>
      </c>
      <c r="AA15" s="162">
        <v>739.28800000000001</v>
      </c>
      <c r="AB15" s="163">
        <v>0.69021409789999999</v>
      </c>
      <c r="AC15" s="162">
        <v>1249.5550000000001</v>
      </c>
      <c r="AD15" s="162">
        <v>739.28800000000001</v>
      </c>
      <c r="AE15" s="163">
        <v>0.69021409789999999</v>
      </c>
      <c r="AF15" s="162">
        <v>23862.258000000002</v>
      </c>
      <c r="AG15" s="163">
        <v>0.40851107609999998</v>
      </c>
    </row>
    <row r="16" spans="1:33">
      <c r="A16" s="127" t="s">
        <v>5</v>
      </c>
      <c r="B16" s="162">
        <v>0</v>
      </c>
      <c r="C16" s="162">
        <v>0</v>
      </c>
      <c r="D16" s="163">
        <v>0</v>
      </c>
      <c r="E16" s="162">
        <v>0</v>
      </c>
      <c r="F16" s="162">
        <v>0</v>
      </c>
      <c r="G16" s="163">
        <v>0</v>
      </c>
      <c r="H16" s="162">
        <v>0</v>
      </c>
      <c r="I16" s="163">
        <v>0</v>
      </c>
      <c r="J16" s="162">
        <v>0</v>
      </c>
      <c r="K16" s="162">
        <v>0</v>
      </c>
      <c r="L16" s="163">
        <v>0</v>
      </c>
      <c r="M16" s="162">
        <v>0</v>
      </c>
      <c r="N16" s="162">
        <v>0</v>
      </c>
      <c r="O16" s="163">
        <v>0</v>
      </c>
      <c r="P16" s="162">
        <v>0</v>
      </c>
      <c r="Q16" s="163">
        <v>0</v>
      </c>
      <c r="R16" s="162">
        <v>0</v>
      </c>
      <c r="S16" s="162">
        <v>0</v>
      </c>
      <c r="T16" s="163">
        <v>0</v>
      </c>
      <c r="U16" s="162">
        <v>0</v>
      </c>
      <c r="V16" s="162">
        <v>0</v>
      </c>
      <c r="W16" s="163">
        <v>0</v>
      </c>
      <c r="X16" s="162">
        <v>0</v>
      </c>
      <c r="Y16" s="163">
        <v>-1</v>
      </c>
      <c r="Z16" s="162">
        <v>94728.305999999997</v>
      </c>
      <c r="AA16" s="162">
        <v>53153.264999999999</v>
      </c>
      <c r="AB16" s="163">
        <v>0.78217285430000005</v>
      </c>
      <c r="AC16" s="162">
        <v>94728.305999999997</v>
      </c>
      <c r="AD16" s="162">
        <v>53153.264999999999</v>
      </c>
      <c r="AE16" s="163">
        <v>0.78217285430000005</v>
      </c>
      <c r="AF16" s="162">
        <v>1450317.287</v>
      </c>
      <c r="AG16" s="163">
        <v>0.16219982350000001</v>
      </c>
    </row>
    <row r="17" spans="1:33">
      <c r="A17" s="127" t="s">
        <v>4</v>
      </c>
      <c r="B17" s="162">
        <v>0</v>
      </c>
      <c r="C17" s="162">
        <v>0</v>
      </c>
      <c r="D17" s="163">
        <v>0</v>
      </c>
      <c r="E17" s="162">
        <v>0</v>
      </c>
      <c r="F17" s="162">
        <v>0</v>
      </c>
      <c r="G17" s="163">
        <v>0</v>
      </c>
      <c r="H17" s="162">
        <v>0.112</v>
      </c>
      <c r="I17" s="163">
        <v>-0.5274261603</v>
      </c>
      <c r="J17" s="162">
        <v>3.48</v>
      </c>
      <c r="K17" s="162">
        <v>3.492</v>
      </c>
      <c r="L17" s="163">
        <v>-3.4364260999999998E-3</v>
      </c>
      <c r="M17" s="162">
        <v>3.48</v>
      </c>
      <c r="N17" s="162">
        <v>3.492</v>
      </c>
      <c r="O17" s="163">
        <v>-3.4364260999999998E-3</v>
      </c>
      <c r="P17" s="162">
        <v>69.483000000000004</v>
      </c>
      <c r="Q17" s="163">
        <v>-8.1835720700000003E-2</v>
      </c>
      <c r="R17" s="162">
        <v>27699.960999999999</v>
      </c>
      <c r="S17" s="162">
        <v>24205.652999999998</v>
      </c>
      <c r="T17" s="163">
        <v>0.14435917100000001</v>
      </c>
      <c r="U17" s="162">
        <v>27699.960999999999</v>
      </c>
      <c r="V17" s="162">
        <v>24205.652999999998</v>
      </c>
      <c r="W17" s="163">
        <v>0.14435917100000001</v>
      </c>
      <c r="X17" s="162">
        <v>510441.326</v>
      </c>
      <c r="Y17" s="163">
        <v>0.28860310659999999</v>
      </c>
      <c r="Z17" s="162">
        <v>32038.107</v>
      </c>
      <c r="AA17" s="162">
        <v>24766.018</v>
      </c>
      <c r="AB17" s="163">
        <v>0.2936317417</v>
      </c>
      <c r="AC17" s="162">
        <v>32038.107</v>
      </c>
      <c r="AD17" s="162">
        <v>24766.018</v>
      </c>
      <c r="AE17" s="163">
        <v>0.2936317417</v>
      </c>
      <c r="AF17" s="162">
        <v>411824.467</v>
      </c>
      <c r="AG17" s="163">
        <v>0.1792414437</v>
      </c>
    </row>
    <row r="18" spans="1:33">
      <c r="A18" s="127" t="s">
        <v>22</v>
      </c>
      <c r="B18" s="162">
        <v>0</v>
      </c>
      <c r="C18" s="162">
        <v>0</v>
      </c>
      <c r="D18" s="163">
        <v>0</v>
      </c>
      <c r="E18" s="162">
        <v>0</v>
      </c>
      <c r="F18" s="162">
        <v>0</v>
      </c>
      <c r="G18" s="163">
        <v>0</v>
      </c>
      <c r="H18" s="162">
        <v>0</v>
      </c>
      <c r="I18" s="163">
        <v>0</v>
      </c>
      <c r="J18" s="162">
        <v>0</v>
      </c>
      <c r="K18" s="162">
        <v>0</v>
      </c>
      <c r="L18" s="163">
        <v>0</v>
      </c>
      <c r="M18" s="162">
        <v>0</v>
      </c>
      <c r="N18" s="162">
        <v>0</v>
      </c>
      <c r="O18" s="163">
        <v>0</v>
      </c>
      <c r="P18" s="162">
        <v>0</v>
      </c>
      <c r="Q18" s="163">
        <v>0</v>
      </c>
      <c r="R18" s="162">
        <v>256.185</v>
      </c>
      <c r="S18" s="162">
        <v>104.23</v>
      </c>
      <c r="T18" s="163">
        <v>1.4578816080000001</v>
      </c>
      <c r="U18" s="162">
        <v>256.185</v>
      </c>
      <c r="V18" s="162">
        <v>104.23</v>
      </c>
      <c r="W18" s="163">
        <v>1.4578816080000001</v>
      </c>
      <c r="X18" s="162">
        <v>2159.8580000000002</v>
      </c>
      <c r="Y18" s="163">
        <v>0.3750050929</v>
      </c>
      <c r="Z18" s="162">
        <v>1127.931</v>
      </c>
      <c r="AA18" s="162">
        <v>500.13400000000001</v>
      </c>
      <c r="AB18" s="163">
        <v>1.2552575909999999</v>
      </c>
      <c r="AC18" s="162">
        <v>1127.931</v>
      </c>
      <c r="AD18" s="162">
        <v>500.13400000000001</v>
      </c>
      <c r="AE18" s="163">
        <v>1.2552575909999999</v>
      </c>
      <c r="AF18" s="162">
        <v>9872.3510000000006</v>
      </c>
      <c r="AG18" s="163">
        <v>0.47702147779999998</v>
      </c>
    </row>
    <row r="19" spans="1:33">
      <c r="A19" s="127" t="s">
        <v>23</v>
      </c>
      <c r="B19" s="162">
        <v>0</v>
      </c>
      <c r="C19" s="162">
        <v>0</v>
      </c>
      <c r="D19" s="163">
        <v>0</v>
      </c>
      <c r="E19" s="162">
        <v>0</v>
      </c>
      <c r="F19" s="162">
        <v>0</v>
      </c>
      <c r="G19" s="163">
        <v>0</v>
      </c>
      <c r="H19" s="162">
        <v>0</v>
      </c>
      <c r="I19" s="163">
        <v>0</v>
      </c>
      <c r="J19" s="162">
        <v>0</v>
      </c>
      <c r="K19" s="162">
        <v>0</v>
      </c>
      <c r="L19" s="163">
        <v>0</v>
      </c>
      <c r="M19" s="162">
        <v>0</v>
      </c>
      <c r="N19" s="162">
        <v>0</v>
      </c>
      <c r="O19" s="163">
        <v>0</v>
      </c>
      <c r="P19" s="162">
        <v>0</v>
      </c>
      <c r="Q19" s="163">
        <v>0</v>
      </c>
      <c r="R19" s="162">
        <v>3686.3090000000002</v>
      </c>
      <c r="S19" s="162">
        <v>3937.018</v>
      </c>
      <c r="T19" s="163">
        <v>-6.3679922200000003E-2</v>
      </c>
      <c r="U19" s="162">
        <v>3686.3090000000002</v>
      </c>
      <c r="V19" s="162">
        <v>3937.018</v>
      </c>
      <c r="W19" s="163">
        <v>-6.3679922200000003E-2</v>
      </c>
      <c r="X19" s="162">
        <v>36433.296000000002</v>
      </c>
      <c r="Y19" s="163">
        <v>-3.8881013700000001E-2</v>
      </c>
      <c r="Z19" s="162">
        <v>0</v>
      </c>
      <c r="AA19" s="162">
        <v>0</v>
      </c>
      <c r="AB19" s="163">
        <v>0</v>
      </c>
      <c r="AC19" s="162">
        <v>0</v>
      </c>
      <c r="AD19" s="162">
        <v>0</v>
      </c>
      <c r="AE19" s="163">
        <v>0</v>
      </c>
      <c r="AF19" s="162">
        <v>0</v>
      </c>
      <c r="AG19" s="163">
        <v>0</v>
      </c>
    </row>
    <row r="20" spans="1:33">
      <c r="A20" s="127" t="s">
        <v>46</v>
      </c>
      <c r="B20" s="162">
        <v>0</v>
      </c>
      <c r="C20" s="162">
        <v>0</v>
      </c>
      <c r="D20" s="163">
        <v>0</v>
      </c>
      <c r="E20" s="162">
        <v>0</v>
      </c>
      <c r="F20" s="162">
        <v>0</v>
      </c>
      <c r="G20" s="163">
        <v>0</v>
      </c>
      <c r="H20" s="162">
        <v>0</v>
      </c>
      <c r="I20" s="163">
        <v>0</v>
      </c>
      <c r="J20" s="162">
        <v>593.255</v>
      </c>
      <c r="K20" s="162">
        <v>625.11249999999995</v>
      </c>
      <c r="L20" s="163">
        <v>-5.0962826699999998E-2</v>
      </c>
      <c r="M20" s="162">
        <v>593.255</v>
      </c>
      <c r="N20" s="162">
        <v>625.11249999999995</v>
      </c>
      <c r="O20" s="163">
        <v>-5.0962826699999998E-2</v>
      </c>
      <c r="P20" s="162">
        <v>5657.5450000000001</v>
      </c>
      <c r="Q20" s="163">
        <v>1.4783615999999999E-2</v>
      </c>
      <c r="R20" s="162">
        <v>10134.332</v>
      </c>
      <c r="S20" s="162">
        <v>10485.035</v>
      </c>
      <c r="T20" s="163">
        <v>-3.3447957E-2</v>
      </c>
      <c r="U20" s="162">
        <v>10134.332</v>
      </c>
      <c r="V20" s="162">
        <v>10485.035</v>
      </c>
      <c r="W20" s="163">
        <v>-3.3447957E-2</v>
      </c>
      <c r="X20" s="162">
        <v>145273.19399999999</v>
      </c>
      <c r="Y20" s="163">
        <v>6.6161025700000001E-2</v>
      </c>
      <c r="Z20" s="162">
        <v>0</v>
      </c>
      <c r="AA20" s="162">
        <v>0</v>
      </c>
      <c r="AB20" s="163">
        <v>0</v>
      </c>
      <c r="AC20" s="162">
        <v>0</v>
      </c>
      <c r="AD20" s="162">
        <v>0</v>
      </c>
      <c r="AE20" s="163">
        <v>0</v>
      </c>
      <c r="AF20" s="162">
        <v>0</v>
      </c>
      <c r="AG20" s="163">
        <v>0</v>
      </c>
    </row>
    <row r="21" spans="1:33">
      <c r="A21" s="127" t="s">
        <v>47</v>
      </c>
      <c r="B21" s="162">
        <v>0</v>
      </c>
      <c r="C21" s="162">
        <v>0</v>
      </c>
      <c r="D21" s="163">
        <v>0</v>
      </c>
      <c r="E21" s="162">
        <v>0</v>
      </c>
      <c r="F21" s="162">
        <v>0</v>
      </c>
      <c r="G21" s="163">
        <v>0</v>
      </c>
      <c r="H21" s="162">
        <v>0</v>
      </c>
      <c r="I21" s="163">
        <v>0</v>
      </c>
      <c r="J21" s="162">
        <v>593.255</v>
      </c>
      <c r="K21" s="162">
        <v>625.11249999999995</v>
      </c>
      <c r="L21" s="163">
        <v>-5.0962826699999998E-2</v>
      </c>
      <c r="M21" s="162">
        <v>593.255</v>
      </c>
      <c r="N21" s="162">
        <v>625.11249999999995</v>
      </c>
      <c r="O21" s="163">
        <v>-5.0962826699999998E-2</v>
      </c>
      <c r="P21" s="162">
        <v>5657.5450000000001</v>
      </c>
      <c r="Q21" s="163">
        <v>1.4783615999999999E-2</v>
      </c>
      <c r="R21" s="162">
        <v>10134.332</v>
      </c>
      <c r="S21" s="162">
        <v>10485.035</v>
      </c>
      <c r="T21" s="163">
        <v>-3.3447957E-2</v>
      </c>
      <c r="U21" s="162">
        <v>10134.332</v>
      </c>
      <c r="V21" s="162">
        <v>10485.035</v>
      </c>
      <c r="W21" s="163">
        <v>-3.3447957E-2</v>
      </c>
      <c r="X21" s="162">
        <v>145273.19399999999</v>
      </c>
      <c r="Y21" s="163">
        <v>6.6161025700000001E-2</v>
      </c>
      <c r="Z21" s="162">
        <v>0</v>
      </c>
      <c r="AA21" s="162">
        <v>0</v>
      </c>
      <c r="AB21" s="163">
        <v>0</v>
      </c>
      <c r="AC21" s="162">
        <v>0</v>
      </c>
      <c r="AD21" s="162">
        <v>0</v>
      </c>
      <c r="AE21" s="163">
        <v>0</v>
      </c>
      <c r="AF21" s="162">
        <v>0</v>
      </c>
      <c r="AG21" s="163">
        <v>0</v>
      </c>
    </row>
    <row r="22" spans="1:33">
      <c r="A22" s="131" t="s">
        <v>2</v>
      </c>
      <c r="B22" s="164">
        <v>17093.042000000001</v>
      </c>
      <c r="C22" s="164">
        <v>15948.752</v>
      </c>
      <c r="D22" s="165">
        <v>7.1747933599999994E-2</v>
      </c>
      <c r="E22" s="164">
        <v>17093.042000000001</v>
      </c>
      <c r="F22" s="164">
        <v>15948.752</v>
      </c>
      <c r="G22" s="165">
        <v>7.1747933599999994E-2</v>
      </c>
      <c r="H22" s="164">
        <v>187659.454</v>
      </c>
      <c r="I22" s="165">
        <v>1.1442767899999999E-2</v>
      </c>
      <c r="J22" s="164">
        <v>18605.823</v>
      </c>
      <c r="K22" s="164">
        <v>16549.522000000001</v>
      </c>
      <c r="L22" s="165">
        <v>0.1242513832</v>
      </c>
      <c r="M22" s="164">
        <v>18605.823</v>
      </c>
      <c r="N22" s="164">
        <v>16549.522000000001</v>
      </c>
      <c r="O22" s="165">
        <v>0.1242513832</v>
      </c>
      <c r="P22" s="164">
        <v>205072.10200000001</v>
      </c>
      <c r="Q22" s="165">
        <v>1.3505500700000001E-2</v>
      </c>
      <c r="R22" s="164">
        <v>373718.85399999999</v>
      </c>
      <c r="S22" s="164">
        <v>326574.63199999998</v>
      </c>
      <c r="T22" s="165">
        <v>0.1443597187</v>
      </c>
      <c r="U22" s="164">
        <v>373718.85399999999</v>
      </c>
      <c r="V22" s="164">
        <v>326574.63199999998</v>
      </c>
      <c r="W22" s="165">
        <v>0.1443597187</v>
      </c>
      <c r="X22" s="164">
        <v>4530572.1279999996</v>
      </c>
      <c r="Y22" s="165">
        <v>-1.8847833200000001E-2</v>
      </c>
      <c r="Z22" s="164">
        <v>756354.39199999999</v>
      </c>
      <c r="AA22" s="164">
        <v>749003.701</v>
      </c>
      <c r="AB22" s="165">
        <v>9.8139582000000003E-3</v>
      </c>
      <c r="AC22" s="164">
        <v>756354.39199999999</v>
      </c>
      <c r="AD22" s="164">
        <v>749003.701</v>
      </c>
      <c r="AE22" s="165">
        <v>9.8139582000000003E-3</v>
      </c>
      <c r="AF22" s="164">
        <v>8903258.7880000006</v>
      </c>
      <c r="AG22" s="165">
        <v>3.3361574999999999E-3</v>
      </c>
    </row>
    <row r="23" spans="1:33">
      <c r="A23" s="127" t="s">
        <v>111</v>
      </c>
      <c r="B23" s="162">
        <v>0</v>
      </c>
      <c r="C23" s="162">
        <v>0</v>
      </c>
      <c r="D23" s="163">
        <v>0</v>
      </c>
      <c r="E23" s="162">
        <v>0</v>
      </c>
      <c r="F23" s="162">
        <v>0</v>
      </c>
      <c r="G23" s="163">
        <v>0</v>
      </c>
      <c r="H23" s="162">
        <v>0</v>
      </c>
      <c r="I23" s="163">
        <v>0</v>
      </c>
      <c r="J23" s="162">
        <v>0</v>
      </c>
      <c r="K23" s="162">
        <v>0</v>
      </c>
      <c r="L23" s="163">
        <v>0</v>
      </c>
      <c r="M23" s="162">
        <v>0</v>
      </c>
      <c r="N23" s="162">
        <v>0</v>
      </c>
      <c r="O23" s="163">
        <v>0</v>
      </c>
      <c r="P23" s="162">
        <v>0</v>
      </c>
      <c r="Q23" s="163">
        <v>0</v>
      </c>
      <c r="R23" s="162">
        <v>5.3209999999999997</v>
      </c>
      <c r="S23" s="162">
        <v>2.9220000000000002</v>
      </c>
      <c r="T23" s="163">
        <v>0.82101300479999995</v>
      </c>
      <c r="U23" s="162">
        <v>5.3209999999999997</v>
      </c>
      <c r="V23" s="162">
        <v>2.9220000000000002</v>
      </c>
      <c r="W23" s="163">
        <v>0.82101300479999995</v>
      </c>
      <c r="X23" s="162">
        <v>145.69800000000001</v>
      </c>
      <c r="Y23" s="163">
        <v>43.0308250227</v>
      </c>
      <c r="Z23" s="162">
        <v>0</v>
      </c>
      <c r="AA23" s="162">
        <v>0</v>
      </c>
      <c r="AB23" s="163">
        <v>0</v>
      </c>
      <c r="AC23" s="162">
        <v>0</v>
      </c>
      <c r="AD23" s="162">
        <v>0</v>
      </c>
      <c r="AE23" s="163">
        <v>0</v>
      </c>
      <c r="AF23" s="162">
        <v>0</v>
      </c>
      <c r="AG23" s="163">
        <v>0</v>
      </c>
    </row>
    <row r="24" spans="1:33">
      <c r="A24" s="127" t="s">
        <v>112</v>
      </c>
      <c r="B24" s="162">
        <v>0</v>
      </c>
      <c r="C24" s="162">
        <v>0</v>
      </c>
      <c r="D24" s="163">
        <v>0</v>
      </c>
      <c r="E24" s="162">
        <v>0</v>
      </c>
      <c r="F24" s="162">
        <v>0</v>
      </c>
      <c r="G24" s="163">
        <v>0</v>
      </c>
      <c r="H24" s="162">
        <v>0</v>
      </c>
      <c r="I24" s="163">
        <v>0</v>
      </c>
      <c r="J24" s="162">
        <v>0</v>
      </c>
      <c r="K24" s="162">
        <v>0</v>
      </c>
      <c r="L24" s="163">
        <v>0</v>
      </c>
      <c r="M24" s="162">
        <v>0</v>
      </c>
      <c r="N24" s="162">
        <v>0</v>
      </c>
      <c r="O24" s="163">
        <v>0</v>
      </c>
      <c r="P24" s="162">
        <v>0</v>
      </c>
      <c r="Q24" s="163">
        <v>0</v>
      </c>
      <c r="R24" s="162">
        <v>-20.024000000000001</v>
      </c>
      <c r="S24" s="162">
        <v>-22.768000000000001</v>
      </c>
      <c r="T24" s="163">
        <v>-0.1205200281</v>
      </c>
      <c r="U24" s="162">
        <v>-20.024000000000001</v>
      </c>
      <c r="V24" s="162">
        <v>-22.768000000000001</v>
      </c>
      <c r="W24" s="163">
        <v>-0.1205200281</v>
      </c>
      <c r="X24" s="162">
        <v>-418.43400000000003</v>
      </c>
      <c r="Y24" s="163">
        <v>7.1076148032999997</v>
      </c>
      <c r="Z24" s="162">
        <v>0</v>
      </c>
      <c r="AA24" s="162">
        <v>0</v>
      </c>
      <c r="AB24" s="163">
        <v>0</v>
      </c>
      <c r="AC24" s="162">
        <v>0</v>
      </c>
      <c r="AD24" s="162">
        <v>0</v>
      </c>
      <c r="AE24" s="163">
        <v>0</v>
      </c>
      <c r="AF24" s="162">
        <v>0</v>
      </c>
      <c r="AG24" s="163">
        <v>0</v>
      </c>
    </row>
    <row r="25" spans="1:33">
      <c r="A25" s="127" t="s">
        <v>21</v>
      </c>
      <c r="B25" s="162">
        <v>0</v>
      </c>
      <c r="C25" s="162">
        <v>0</v>
      </c>
      <c r="D25" s="163">
        <v>0</v>
      </c>
      <c r="E25" s="162">
        <v>0</v>
      </c>
      <c r="F25" s="162">
        <v>0</v>
      </c>
      <c r="G25" s="163">
        <v>0</v>
      </c>
      <c r="H25" s="162">
        <v>0</v>
      </c>
      <c r="I25" s="163">
        <v>0</v>
      </c>
      <c r="J25" s="162">
        <v>0</v>
      </c>
      <c r="K25" s="162">
        <v>0</v>
      </c>
      <c r="L25" s="163">
        <v>0</v>
      </c>
      <c r="M25" s="162">
        <v>0</v>
      </c>
      <c r="N25" s="162">
        <v>0</v>
      </c>
      <c r="O25" s="163">
        <v>0</v>
      </c>
      <c r="P25" s="162">
        <v>0</v>
      </c>
      <c r="Q25" s="163">
        <v>0</v>
      </c>
      <c r="R25" s="162">
        <v>85443.509000000005</v>
      </c>
      <c r="S25" s="162">
        <v>122760.274</v>
      </c>
      <c r="T25" s="163">
        <v>-0.30398078940000001</v>
      </c>
      <c r="U25" s="162">
        <v>85443.509000000005</v>
      </c>
      <c r="V25" s="162">
        <v>122760.274</v>
      </c>
      <c r="W25" s="163">
        <v>-0.30398078940000001</v>
      </c>
      <c r="X25" s="162">
        <v>1542491.1189999999</v>
      </c>
      <c r="Y25" s="163">
        <v>8.2548611399999999E-2</v>
      </c>
      <c r="Z25" s="162">
        <v>0</v>
      </c>
      <c r="AA25" s="162">
        <v>0</v>
      </c>
      <c r="AB25" s="163">
        <v>0</v>
      </c>
      <c r="AC25" s="162">
        <v>0</v>
      </c>
      <c r="AD25" s="162">
        <v>0</v>
      </c>
      <c r="AE25" s="163">
        <v>0</v>
      </c>
      <c r="AF25" s="162">
        <v>0</v>
      </c>
      <c r="AG25" s="163">
        <v>0</v>
      </c>
    </row>
    <row r="26" spans="1:33">
      <c r="A26" s="131" t="s">
        <v>71</v>
      </c>
      <c r="B26" s="164">
        <v>17093.042000000001</v>
      </c>
      <c r="C26" s="164">
        <v>15948.752</v>
      </c>
      <c r="D26" s="165">
        <v>7.1747933599999994E-2</v>
      </c>
      <c r="E26" s="164">
        <v>17093.042000000001</v>
      </c>
      <c r="F26" s="164">
        <v>15948.752</v>
      </c>
      <c r="G26" s="165">
        <v>7.1747933599999994E-2</v>
      </c>
      <c r="H26" s="164">
        <v>187659.454</v>
      </c>
      <c r="I26" s="165">
        <v>1.1442767899999999E-2</v>
      </c>
      <c r="J26" s="164">
        <v>18605.823</v>
      </c>
      <c r="K26" s="164">
        <v>16549.522000000001</v>
      </c>
      <c r="L26" s="165">
        <v>0.1242513832</v>
      </c>
      <c r="M26" s="164">
        <v>18605.823</v>
      </c>
      <c r="N26" s="164">
        <v>16549.522000000001</v>
      </c>
      <c r="O26" s="165">
        <v>0.1242513832</v>
      </c>
      <c r="P26" s="164">
        <v>205072.10200000001</v>
      </c>
      <c r="Q26" s="165">
        <v>1.3505500700000001E-2</v>
      </c>
      <c r="R26" s="164">
        <v>459147.66</v>
      </c>
      <c r="S26" s="164">
        <v>449315.06</v>
      </c>
      <c r="T26" s="165">
        <v>2.18835309E-2</v>
      </c>
      <c r="U26" s="164">
        <v>459147.66</v>
      </c>
      <c r="V26" s="164">
        <v>449315.06</v>
      </c>
      <c r="W26" s="165">
        <v>2.18835309E-2</v>
      </c>
      <c r="X26" s="164">
        <v>6072790.5109999999</v>
      </c>
      <c r="Y26" s="165">
        <v>5.0252635999999996E-3</v>
      </c>
      <c r="Z26" s="164">
        <v>756354.39199999999</v>
      </c>
      <c r="AA26" s="164">
        <v>749003.701</v>
      </c>
      <c r="AB26" s="165">
        <v>9.8139582000000003E-3</v>
      </c>
      <c r="AC26" s="164">
        <v>756354.39199999999</v>
      </c>
      <c r="AD26" s="164">
        <v>749003.701</v>
      </c>
      <c r="AE26" s="165">
        <v>9.8139582000000003E-3</v>
      </c>
      <c r="AF26" s="164">
        <v>8903258.7880000006</v>
      </c>
      <c r="AG26" s="165">
        <v>3.3361574999999999E-3</v>
      </c>
    </row>
    <row r="27" spans="1:33">
      <c r="A27" s="99" t="s">
        <v>94</v>
      </c>
      <c r="B27" s="155">
        <f>SUM(B26,J26,R26,Z26)</f>
        <v>1251200.9169999999</v>
      </c>
      <c r="C27" s="155">
        <f>SUM(C26,K26,S26,AA26)</f>
        <v>1230817.0349999999</v>
      </c>
      <c r="D27" s="156">
        <f>((B27/C27)-1)*100</f>
        <v>1.6561260870101568</v>
      </c>
      <c r="R27" s="188">
        <f>R25/R26</f>
        <v>0.1860915701933448</v>
      </c>
      <c r="S27" s="188">
        <f>S25/S26</f>
        <v>0.27321646864006743</v>
      </c>
    </row>
    <row r="29" spans="1:33" ht="15">
      <c r="A29" s="128" t="s">
        <v>59</v>
      </c>
      <c r="B29" s="203" t="str">
        <f>A2</f>
        <v>Enero 2025</v>
      </c>
      <c r="C29" s="204"/>
    </row>
    <row r="30" spans="1:33" ht="15">
      <c r="A30" s="128" t="s">
        <v>61</v>
      </c>
      <c r="B30" s="217" t="s">
        <v>64</v>
      </c>
      <c r="C30" s="218"/>
    </row>
    <row r="31" spans="1:33">
      <c r="A31" s="126" t="s">
        <v>60</v>
      </c>
      <c r="B31" s="154" t="s">
        <v>49</v>
      </c>
      <c r="C31" s="154" t="s">
        <v>50</v>
      </c>
    </row>
    <row r="32" spans="1:33">
      <c r="A32" s="128" t="s">
        <v>62</v>
      </c>
      <c r="B32" s="129"/>
      <c r="C32" s="129"/>
    </row>
    <row r="33" spans="1:4">
      <c r="A33" s="127" t="s">
        <v>12</v>
      </c>
      <c r="B33" s="169"/>
      <c r="C33" s="169">
        <v>1.52</v>
      </c>
    </row>
    <row r="34" spans="1:4">
      <c r="A34" s="127" t="s">
        <v>11</v>
      </c>
      <c r="B34" s="169">
        <v>241.2</v>
      </c>
      <c r="C34" s="169"/>
    </row>
    <row r="35" spans="1:4">
      <c r="A35" s="127" t="s">
        <v>70</v>
      </c>
      <c r="B35" s="169">
        <v>139.4</v>
      </c>
      <c r="C35" s="169">
        <v>487.64</v>
      </c>
    </row>
    <row r="36" spans="1:4">
      <c r="A36" s="127" t="s">
        <v>9</v>
      </c>
      <c r="B36" s="169">
        <v>603.1</v>
      </c>
      <c r="C36" s="169">
        <v>520.75</v>
      </c>
    </row>
    <row r="37" spans="1:4">
      <c r="A37" s="127" t="s">
        <v>8</v>
      </c>
      <c r="B37" s="169"/>
      <c r="C37" s="169">
        <v>482.64</v>
      </c>
    </row>
    <row r="38" spans="1:4">
      <c r="A38" s="127" t="s">
        <v>25</v>
      </c>
      <c r="B38" s="169">
        <v>822.9</v>
      </c>
      <c r="C38" s="169">
        <v>865.4</v>
      </c>
    </row>
    <row r="39" spans="1:4">
      <c r="A39" s="127" t="s">
        <v>24</v>
      </c>
      <c r="B39" s="169"/>
      <c r="C39" s="169"/>
    </row>
    <row r="40" spans="1:4">
      <c r="A40" s="127" t="s">
        <v>6</v>
      </c>
      <c r="B40" s="169"/>
      <c r="C40" s="169">
        <v>11.32</v>
      </c>
    </row>
    <row r="41" spans="1:4">
      <c r="A41" s="127" t="s">
        <v>5</v>
      </c>
      <c r="B41" s="169">
        <v>3.5575000000000001</v>
      </c>
      <c r="C41" s="169">
        <v>648.11</v>
      </c>
      <c r="D41" s="160"/>
    </row>
    <row r="42" spans="1:4">
      <c r="A42" s="127" t="s">
        <v>4</v>
      </c>
      <c r="B42" s="169">
        <v>336.82939499999998</v>
      </c>
      <c r="C42" s="169">
        <v>293.89804500000002</v>
      </c>
      <c r="D42" s="160"/>
    </row>
    <row r="43" spans="1:4">
      <c r="A43" s="127" t="s">
        <v>22</v>
      </c>
      <c r="B43" s="169">
        <v>3.9319999999999999</v>
      </c>
      <c r="C43" s="169">
        <v>8.8059999999999992</v>
      </c>
    </row>
    <row r="44" spans="1:4">
      <c r="A44" s="127" t="s">
        <v>23</v>
      </c>
      <c r="B44" s="169">
        <v>11.523</v>
      </c>
      <c r="C44" s="169">
        <v>38.200000000000003</v>
      </c>
    </row>
    <row r="45" spans="1:4">
      <c r="A45" s="127" t="s">
        <v>46</v>
      </c>
      <c r="B45" s="169">
        <v>37.4</v>
      </c>
      <c r="C45" s="169"/>
    </row>
    <row r="46" spans="1:4">
      <c r="A46" s="127" t="s">
        <v>47</v>
      </c>
      <c r="B46" s="169">
        <v>37.4</v>
      </c>
      <c r="C46" s="169"/>
    </row>
    <row r="47" spans="1:4">
      <c r="A47" s="131" t="s">
        <v>2</v>
      </c>
      <c r="B47" s="170">
        <f>SUM(B33:B46)</f>
        <v>2237.2418950000001</v>
      </c>
      <c r="C47" s="170">
        <f>SUM(C33:C46)</f>
        <v>3358.2840449999999</v>
      </c>
    </row>
    <row r="48" spans="1:4" ht="15">
      <c r="A48"/>
      <c r="B48" s="161"/>
      <c r="C48" s="171"/>
      <c r="D48" s="159"/>
    </row>
    <row r="49" spans="1:8" ht="15">
      <c r="A49"/>
      <c r="B49"/>
      <c r="C49"/>
    </row>
    <row r="50" spans="1:8">
      <c r="A50" s="97" t="s">
        <v>28</v>
      </c>
      <c r="B50" s="98"/>
      <c r="C50" s="98"/>
      <c r="F50" s="97" t="s">
        <v>29</v>
      </c>
      <c r="G50" s="98"/>
      <c r="H50" s="98"/>
    </row>
    <row r="51" spans="1:8">
      <c r="A51" s="100"/>
      <c r="B51" s="101" t="s">
        <v>27</v>
      </c>
      <c r="C51" s="101" t="s">
        <v>26</v>
      </c>
      <c r="F51" s="100"/>
      <c r="G51" s="101" t="s">
        <v>27</v>
      </c>
      <c r="H51" s="101" t="s">
        <v>26</v>
      </c>
    </row>
    <row r="52" spans="1:8">
      <c r="A52" s="102" t="s">
        <v>11</v>
      </c>
      <c r="B52" s="103">
        <f>B34</f>
        <v>241.2</v>
      </c>
      <c r="C52" s="104">
        <f t="shared" ref="C52:C57" si="0">B52/$B$63*100</f>
        <v>10.781131916895379</v>
      </c>
      <c r="D52" s="158"/>
      <c r="F52" s="102" t="s">
        <v>10</v>
      </c>
      <c r="G52" s="103">
        <f>C35</f>
        <v>487.64</v>
      </c>
      <c r="H52" s="104">
        <f>G52/$G$62*100</f>
        <v>14.520510875964336</v>
      </c>
    </row>
    <row r="53" spans="1:8">
      <c r="A53" s="102" t="s">
        <v>10</v>
      </c>
      <c r="B53" s="103">
        <f t="shared" ref="B53:B54" si="1">B35</f>
        <v>139.4</v>
      </c>
      <c r="C53" s="104">
        <f t="shared" si="0"/>
        <v>6.2308863566136656</v>
      </c>
      <c r="D53" s="158"/>
      <c r="F53" s="102" t="s">
        <v>9</v>
      </c>
      <c r="G53" s="103">
        <f>C36</f>
        <v>520.75</v>
      </c>
      <c r="H53" s="104">
        <f t="shared" ref="H53:H61" si="2">G53/$G$62*100</f>
        <v>15.506431052945672</v>
      </c>
    </row>
    <row r="54" spans="1:8">
      <c r="A54" s="102" t="s">
        <v>9</v>
      </c>
      <c r="B54" s="103">
        <f t="shared" si="1"/>
        <v>603.1</v>
      </c>
      <c r="C54" s="104">
        <f t="shared" si="0"/>
        <v>26.957299581590398</v>
      </c>
      <c r="D54" s="158"/>
      <c r="F54" s="102" t="s">
        <v>8</v>
      </c>
      <c r="G54" s="103">
        <f>C37</f>
        <v>482.64</v>
      </c>
      <c r="H54" s="104">
        <f t="shared" si="2"/>
        <v>14.371625316166488</v>
      </c>
    </row>
    <row r="55" spans="1:8">
      <c r="A55" s="102" t="s">
        <v>25</v>
      </c>
      <c r="B55" s="103">
        <f>B38</f>
        <v>822.9</v>
      </c>
      <c r="C55" s="104">
        <f t="shared" si="0"/>
        <v>36.781896577169185</v>
      </c>
      <c r="D55" s="158"/>
      <c r="F55" s="102" t="s">
        <v>25</v>
      </c>
      <c r="G55" s="103">
        <f>C38</f>
        <v>865.4</v>
      </c>
      <c r="H55" s="104">
        <f t="shared" si="2"/>
        <v>25.769112689811202</v>
      </c>
    </row>
    <row r="56" spans="1:8">
      <c r="A56" s="102" t="s">
        <v>24</v>
      </c>
      <c r="B56" s="103">
        <f>B39</f>
        <v>0</v>
      </c>
      <c r="C56" s="104">
        <f t="shared" si="0"/>
        <v>0</v>
      </c>
      <c r="D56" s="158"/>
      <c r="F56" s="102" t="s">
        <v>23</v>
      </c>
      <c r="G56" s="103">
        <f>C44</f>
        <v>38.200000000000003</v>
      </c>
      <c r="H56" s="104">
        <f t="shared" si="2"/>
        <v>1.1374856768555444</v>
      </c>
    </row>
    <row r="57" spans="1:8">
      <c r="A57" s="102" t="s">
        <v>23</v>
      </c>
      <c r="B57" s="103">
        <f>B44</f>
        <v>11.523</v>
      </c>
      <c r="C57" s="104">
        <f t="shared" si="0"/>
        <v>0.51505382702481528</v>
      </c>
      <c r="D57" s="158"/>
      <c r="F57" s="102" t="s">
        <v>12</v>
      </c>
      <c r="G57" s="104">
        <f>C33</f>
        <v>1.52</v>
      </c>
      <c r="H57" s="104">
        <f t="shared" si="2"/>
        <v>4.5261210178545216E-2</v>
      </c>
    </row>
    <row r="58" spans="1:8">
      <c r="A58" s="102" t="s">
        <v>47</v>
      </c>
      <c r="B58" s="103">
        <f>B46</f>
        <v>37.4</v>
      </c>
      <c r="C58" s="104">
        <f t="shared" ref="C58:C62" si="3">B58/$B$63*100</f>
        <v>1.6717012176280563</v>
      </c>
      <c r="D58" s="158"/>
      <c r="F58" s="102" t="s">
        <v>6</v>
      </c>
      <c r="G58" s="103">
        <f>C40</f>
        <v>11.32</v>
      </c>
      <c r="H58" s="104">
        <f t="shared" si="2"/>
        <v>0.3370769073823236</v>
      </c>
    </row>
    <row r="59" spans="1:8">
      <c r="A59" s="102" t="s">
        <v>46</v>
      </c>
      <c r="B59" s="103">
        <f>B45</f>
        <v>37.4</v>
      </c>
      <c r="C59" s="104">
        <f t="shared" si="3"/>
        <v>1.6717012176280563</v>
      </c>
      <c r="D59" s="158"/>
      <c r="F59" s="102" t="s">
        <v>5</v>
      </c>
      <c r="G59" s="103">
        <f>C41</f>
        <v>648.11</v>
      </c>
      <c r="H59" s="104">
        <f t="shared" si="2"/>
        <v>19.298844032116406</v>
      </c>
    </row>
    <row r="60" spans="1:8">
      <c r="A60" s="102" t="s">
        <v>5</v>
      </c>
      <c r="B60" s="103">
        <f>B41</f>
        <v>3.5575000000000001</v>
      </c>
      <c r="C60" s="104">
        <f t="shared" si="3"/>
        <v>0.15901275619550298</v>
      </c>
      <c r="D60" s="158"/>
      <c r="F60" s="102" t="s">
        <v>4</v>
      </c>
      <c r="G60" s="103">
        <f>C42</f>
        <v>293.89804500000002</v>
      </c>
      <c r="H60" s="104">
        <f t="shared" si="2"/>
        <v>8.7514349906635154</v>
      </c>
    </row>
    <row r="61" spans="1:8">
      <c r="A61" s="102" t="s">
        <v>4</v>
      </c>
      <c r="B61" s="103">
        <f>B42</f>
        <v>336.82939499999998</v>
      </c>
      <c r="C61" s="104">
        <f t="shared" si="3"/>
        <v>15.055564431936405</v>
      </c>
      <c r="D61" s="158"/>
      <c r="F61" s="102" t="s">
        <v>22</v>
      </c>
      <c r="G61" s="103">
        <f>C43</f>
        <v>8.8059999999999992</v>
      </c>
      <c r="H61" s="104">
        <f t="shared" si="2"/>
        <v>0.26221724791596651</v>
      </c>
    </row>
    <row r="62" spans="1:8">
      <c r="A62" s="102" t="s">
        <v>22</v>
      </c>
      <c r="B62" s="103">
        <f>B43</f>
        <v>3.9319999999999999</v>
      </c>
      <c r="C62" s="104">
        <f t="shared" si="3"/>
        <v>0.17575211731854329</v>
      </c>
      <c r="D62" s="158"/>
      <c r="F62" s="105" t="s">
        <v>20</v>
      </c>
      <c r="G62" s="106">
        <f>SUM(G52:G61)</f>
        <v>3358.2840449999999</v>
      </c>
      <c r="H62" s="107">
        <f>SUM(H52:H61)</f>
        <v>100.00000000000001</v>
      </c>
    </row>
    <row r="63" spans="1:8">
      <c r="A63" s="105" t="s">
        <v>20</v>
      </c>
      <c r="B63" s="106">
        <f>SUM(B52:B62)</f>
        <v>2237.2418949999997</v>
      </c>
      <c r="C63" s="107">
        <f>SUM(C52:C62)</f>
        <v>100</v>
      </c>
    </row>
    <row r="66" spans="1:7">
      <c r="A66" s="97" t="s">
        <v>124</v>
      </c>
      <c r="B66" s="98"/>
      <c r="F66" s="97" t="s">
        <v>125</v>
      </c>
      <c r="G66" s="98"/>
    </row>
    <row r="67" spans="1:7">
      <c r="A67" s="100"/>
      <c r="B67" s="101" t="s">
        <v>127</v>
      </c>
      <c r="C67" s="101" t="s">
        <v>126</v>
      </c>
      <c r="D67" s="101" t="s">
        <v>95</v>
      </c>
      <c r="F67" s="100"/>
      <c r="G67" s="101" t="s">
        <v>26</v>
      </c>
    </row>
    <row r="68" spans="1:7">
      <c r="A68" s="102" t="s">
        <v>11</v>
      </c>
      <c r="B68" s="104">
        <f t="shared" ref="B68:B79" si="4">D68/$D$80*100</f>
        <v>1.0087865150219204</v>
      </c>
      <c r="C68" s="104">
        <f>(D68/SUM($D$68:$D$78))*100</f>
        <v>1.2394258278443719</v>
      </c>
      <c r="D68" s="103">
        <f>IF(R9&lt;0,0,R9)</f>
        <v>4631.9679999999998</v>
      </c>
      <c r="F68" s="102" t="s">
        <v>10</v>
      </c>
      <c r="G68" s="104">
        <f>SUM(Z10,Z14)/Z$22*100</f>
        <v>21.741961538051065</v>
      </c>
    </row>
    <row r="69" spans="1:7">
      <c r="A69" s="102" t="s">
        <v>10</v>
      </c>
      <c r="B69" s="104">
        <f t="shared" si="4"/>
        <v>1.8698154926953365</v>
      </c>
      <c r="C69" s="104">
        <f>(D69/SUM($D$68:$D$78))*100</f>
        <v>2.2973122463872264</v>
      </c>
      <c r="D69" s="103">
        <f>R10</f>
        <v>8585.4889999999996</v>
      </c>
      <c r="F69" s="102" t="s">
        <v>9</v>
      </c>
      <c r="G69" s="104">
        <f>Z11/Z$22*100</f>
        <v>4.8979336131097648</v>
      </c>
    </row>
    <row r="70" spans="1:7">
      <c r="A70" s="102" t="s">
        <v>9</v>
      </c>
      <c r="B70" s="104">
        <f t="shared" si="4"/>
        <v>5.1894070420575824</v>
      </c>
      <c r="C70" s="104">
        <f>(D70/SUM($D$68:$D$78))*100</f>
        <v>6.3758634987144642</v>
      </c>
      <c r="D70" s="103">
        <f>R11</f>
        <v>23827.804</v>
      </c>
      <c r="F70" s="102" t="s">
        <v>8</v>
      </c>
      <c r="G70" s="104">
        <f>Z12/Z$22*100</f>
        <v>10.956180446163126</v>
      </c>
    </row>
    <row r="71" spans="1:7">
      <c r="A71" s="102" t="s">
        <v>25</v>
      </c>
      <c r="B71" s="104">
        <f t="shared" si="4"/>
        <v>62.017816996032835</v>
      </c>
      <c r="C71" s="104">
        <f>(D71/SUM($D$68:$D$78))*100</f>
        <v>76.196978277151629</v>
      </c>
      <c r="D71" s="103">
        <f>R13</f>
        <v>284762.47399999999</v>
      </c>
      <c r="F71" s="102" t="s">
        <v>25</v>
      </c>
      <c r="G71" s="104">
        <f>Z13/Z$22*100</f>
        <v>45.291689401599982</v>
      </c>
    </row>
    <row r="72" spans="1:7">
      <c r="A72" s="102" t="s">
        <v>24</v>
      </c>
      <c r="B72" s="104">
        <f t="shared" si="4"/>
        <v>0</v>
      </c>
      <c r="C72" s="104"/>
      <c r="D72" s="103">
        <f>R14</f>
        <v>0</v>
      </c>
      <c r="F72" s="102" t="s">
        <v>23</v>
      </c>
      <c r="G72" s="104">
        <f>Z19/Z$22*100</f>
        <v>0</v>
      </c>
    </row>
    <row r="73" spans="1:7">
      <c r="A73" s="102" t="s">
        <v>23</v>
      </c>
      <c r="B73" s="104">
        <f t="shared" si="4"/>
        <v>0.80283344129405476</v>
      </c>
      <c r="C73" s="104">
        <f t="shared" ref="C73:C78" si="5">(D73/SUM($D$68:$D$78))*100</f>
        <v>0.98638561061198171</v>
      </c>
      <c r="D73" s="103">
        <f>R19</f>
        <v>3686.3090000000002</v>
      </c>
      <c r="F73" s="102" t="s">
        <v>12</v>
      </c>
      <c r="G73" s="104">
        <f>Z8/Z$22*100</f>
        <v>3.7712744583361928E-2</v>
      </c>
    </row>
    <row r="74" spans="1:7">
      <c r="A74" s="102" t="s">
        <v>47</v>
      </c>
      <c r="B74" s="104">
        <f t="shared" si="4"/>
        <v>2.2071347341680965</v>
      </c>
      <c r="C74" s="104">
        <f t="shared" si="5"/>
        <v>2.711752937142422</v>
      </c>
      <c r="D74" s="103">
        <f>R21</f>
        <v>10134.332</v>
      </c>
      <c r="F74" s="102" t="s">
        <v>6</v>
      </c>
      <c r="G74" s="104">
        <f>Z15/Z$22*100</f>
        <v>0.16520760812875668</v>
      </c>
    </row>
    <row r="75" spans="1:7">
      <c r="A75" s="102" t="s">
        <v>46</v>
      </c>
      <c r="B75" s="104">
        <f t="shared" si="4"/>
        <v>2.2071347341680965</v>
      </c>
      <c r="C75" s="104">
        <f t="shared" si="5"/>
        <v>2.711752937142422</v>
      </c>
      <c r="D75" s="103">
        <f>R20</f>
        <v>10134.332</v>
      </c>
      <c r="F75" s="102" t="s">
        <v>5</v>
      </c>
      <c r="G75" s="104">
        <f>Z16/Z$22*100</f>
        <v>12.5243281458991</v>
      </c>
    </row>
    <row r="76" spans="1:7">
      <c r="A76" s="102" t="s">
        <v>5</v>
      </c>
      <c r="B76" s="104">
        <f t="shared" si="4"/>
        <v>0</v>
      </c>
      <c r="C76" s="104">
        <f t="shared" si="5"/>
        <v>0</v>
      </c>
      <c r="D76" s="103">
        <f>R16</f>
        <v>0</v>
      </c>
      <c r="F76" s="102" t="s">
        <v>4</v>
      </c>
      <c r="G76" s="104">
        <f>Z17/Z$22*100</f>
        <v>4.2358591870251212</v>
      </c>
    </row>
    <row r="77" spans="1:7">
      <c r="A77" s="102" t="s">
        <v>4</v>
      </c>
      <c r="B77" s="104">
        <f t="shared" si="4"/>
        <v>6.0327159262397991</v>
      </c>
      <c r="C77" s="104">
        <f t="shared" si="5"/>
        <v>7.411978470853386</v>
      </c>
      <c r="D77" s="103">
        <f>R17</f>
        <v>27699.960999999999</v>
      </c>
      <c r="F77" s="102" t="s">
        <v>22</v>
      </c>
      <c r="G77" s="104">
        <f>Z18/Z$22*100</f>
        <v>0.14912731543971783</v>
      </c>
    </row>
    <row r="78" spans="1:7">
      <c r="A78" s="102" t="s">
        <v>22</v>
      </c>
      <c r="B78" s="104">
        <f t="shared" si="4"/>
        <v>5.5793989369289837E-2</v>
      </c>
      <c r="C78" s="104">
        <f t="shared" si="5"/>
        <v>6.8550194152099161E-2</v>
      </c>
      <c r="D78" s="103">
        <f>R18</f>
        <v>256.185</v>
      </c>
      <c r="F78" s="105" t="s">
        <v>20</v>
      </c>
      <c r="G78" s="107">
        <f>SUM(G68:G77)</f>
        <v>99.999999999999986</v>
      </c>
    </row>
    <row r="79" spans="1:7">
      <c r="A79" s="102" t="s">
        <v>21</v>
      </c>
      <c r="B79" s="104">
        <f t="shared" si="4"/>
        <v>18.608561128952985</v>
      </c>
      <c r="C79" s="104"/>
      <c r="D79" s="103">
        <f>R25</f>
        <v>85443.509000000005</v>
      </c>
    </row>
    <row r="80" spans="1:7">
      <c r="A80" s="105" t="s">
        <v>20</v>
      </c>
      <c r="B80" s="107">
        <f>SUM(B68:B79)</f>
        <v>100</v>
      </c>
      <c r="C80" s="107">
        <f>SUM(C68:C79)</f>
        <v>99.999999999999986</v>
      </c>
      <c r="D80" s="106">
        <f>SUM(D68:D79)</f>
        <v>459162.36300000001</v>
      </c>
    </row>
    <row r="85" spans="1:26" ht="15">
      <c r="A85" s="128"/>
      <c r="B85" s="128" t="s">
        <v>61</v>
      </c>
      <c r="C85" s="220" t="s">
        <v>13</v>
      </c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/>
      <c r="R85"/>
      <c r="S85"/>
      <c r="T85"/>
      <c r="U85"/>
      <c r="V85"/>
      <c r="W85"/>
      <c r="X85"/>
      <c r="Y85"/>
      <c r="Z85"/>
    </row>
    <row r="86" spans="1:26" ht="15">
      <c r="A86" s="128"/>
      <c r="B86" s="126" t="s">
        <v>59</v>
      </c>
      <c r="C86" s="172" t="s">
        <v>96</v>
      </c>
      <c r="D86" s="172" t="s">
        <v>97</v>
      </c>
      <c r="E86" s="172" t="s">
        <v>98</v>
      </c>
      <c r="F86" s="172" t="s">
        <v>99</v>
      </c>
      <c r="G86" s="172" t="s">
        <v>100</v>
      </c>
      <c r="H86" s="172" t="s">
        <v>101</v>
      </c>
      <c r="I86" s="172" t="s">
        <v>102</v>
      </c>
      <c r="J86" s="172" t="s">
        <v>103</v>
      </c>
      <c r="K86" s="172" t="s">
        <v>104</v>
      </c>
      <c r="L86" s="172" t="s">
        <v>105</v>
      </c>
      <c r="M86" s="172" t="s">
        <v>106</v>
      </c>
      <c r="N86" s="172" t="s">
        <v>107</v>
      </c>
      <c r="O86" s="172" t="s">
        <v>108</v>
      </c>
      <c r="P86" s="172" t="s">
        <v>114</v>
      </c>
      <c r="Q86"/>
      <c r="R86"/>
      <c r="S86"/>
      <c r="T86"/>
      <c r="U86"/>
      <c r="V86"/>
      <c r="W86"/>
      <c r="X86"/>
      <c r="Y86"/>
      <c r="Z86"/>
    </row>
    <row r="87" spans="1:26" ht="15">
      <c r="A87" s="128" t="s">
        <v>60</v>
      </c>
      <c r="B87" s="128" t="s">
        <v>62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/>
      <c r="R87"/>
      <c r="S87"/>
      <c r="T87"/>
      <c r="U87"/>
      <c r="V87"/>
      <c r="W87"/>
      <c r="X87"/>
      <c r="Y87"/>
      <c r="Z87"/>
    </row>
    <row r="88" spans="1:26" ht="15">
      <c r="A88" s="214" t="s">
        <v>49</v>
      </c>
      <c r="B88" s="127" t="s">
        <v>11</v>
      </c>
      <c r="C88" s="166">
        <v>0</v>
      </c>
      <c r="D88" s="166">
        <v>0</v>
      </c>
      <c r="E88" s="166">
        <v>0</v>
      </c>
      <c r="F88" s="166">
        <v>0</v>
      </c>
      <c r="G88" s="166">
        <v>25.151703999999999</v>
      </c>
      <c r="H88" s="166">
        <v>29.836832000000001</v>
      </c>
      <c r="I88" s="166">
        <v>3.0622039999999999</v>
      </c>
      <c r="J88" s="166">
        <v>0</v>
      </c>
      <c r="K88" s="166">
        <v>0</v>
      </c>
      <c r="L88" s="166">
        <v>0</v>
      </c>
      <c r="M88" s="166">
        <v>0</v>
      </c>
      <c r="N88" s="166">
        <v>0</v>
      </c>
      <c r="O88" s="166">
        <v>4.6319679999999996</v>
      </c>
      <c r="P88" s="166">
        <v>22.885707</v>
      </c>
      <c r="Q88"/>
      <c r="R88"/>
      <c r="S88"/>
      <c r="T88"/>
      <c r="U88"/>
      <c r="V88"/>
      <c r="W88"/>
      <c r="X88"/>
      <c r="Y88"/>
      <c r="Z88"/>
    </row>
    <row r="89" spans="1:26" ht="15">
      <c r="A89" s="215"/>
      <c r="B89" s="127" t="s">
        <v>70</v>
      </c>
      <c r="C89" s="166">
        <v>6.1979410000000001</v>
      </c>
      <c r="D89" s="166">
        <v>5.7004010000000003</v>
      </c>
      <c r="E89" s="166">
        <v>6.2874660000000002</v>
      </c>
      <c r="F89" s="166">
        <v>18.937709000000002</v>
      </c>
      <c r="G89" s="166">
        <v>12.634096</v>
      </c>
      <c r="H89" s="166">
        <v>18.518857000000001</v>
      </c>
      <c r="I89" s="166">
        <v>51.657288000000001</v>
      </c>
      <c r="J89" s="166">
        <v>63.154792</v>
      </c>
      <c r="K89" s="166">
        <v>37.101396999999999</v>
      </c>
      <c r="L89" s="166">
        <v>25.321735</v>
      </c>
      <c r="M89" s="166">
        <v>8.0420429999999996</v>
      </c>
      <c r="N89" s="166">
        <v>8.2701910000000005</v>
      </c>
      <c r="O89" s="166">
        <v>8.5854890000000008</v>
      </c>
      <c r="P89" s="166">
        <v>3.5194220000000001</v>
      </c>
      <c r="Q89"/>
      <c r="R89"/>
      <c r="S89"/>
      <c r="T89"/>
      <c r="U89"/>
      <c r="V89"/>
      <c r="W89"/>
      <c r="X89"/>
      <c r="Y89"/>
      <c r="Z89"/>
    </row>
    <row r="90" spans="1:26" ht="15">
      <c r="A90" s="215"/>
      <c r="B90" s="127" t="s">
        <v>9</v>
      </c>
      <c r="C90" s="166">
        <v>25.499687000000002</v>
      </c>
      <c r="D90" s="166">
        <v>24.103729999999999</v>
      </c>
      <c r="E90" s="166">
        <v>25.225477999999999</v>
      </c>
      <c r="F90" s="166">
        <v>29.829684</v>
      </c>
      <c r="G90" s="166">
        <v>29.728614</v>
      </c>
      <c r="H90" s="166">
        <v>43.667929999999998</v>
      </c>
      <c r="I90" s="166">
        <v>52.690387999999999</v>
      </c>
      <c r="J90" s="166">
        <v>57.984402000000003</v>
      </c>
      <c r="K90" s="166">
        <v>36.627740000000003</v>
      </c>
      <c r="L90" s="166">
        <v>40.918340000000001</v>
      </c>
      <c r="M90" s="166">
        <v>22.217787999999999</v>
      </c>
      <c r="N90" s="166">
        <v>25.456890999999999</v>
      </c>
      <c r="O90" s="166">
        <v>23.827804</v>
      </c>
      <c r="P90" s="166">
        <v>8.3531929999999992</v>
      </c>
      <c r="Q90"/>
      <c r="R90"/>
      <c r="S90"/>
      <c r="T90"/>
      <c r="U90"/>
      <c r="V90"/>
      <c r="W90"/>
      <c r="X90"/>
      <c r="Y90"/>
      <c r="Z90"/>
    </row>
    <row r="91" spans="1:26" ht="15">
      <c r="A91" s="215"/>
      <c r="B91" s="127" t="s">
        <v>25</v>
      </c>
      <c r="C91" s="166">
        <v>245.660033</v>
      </c>
      <c r="D91" s="166">
        <v>219.76708199999999</v>
      </c>
      <c r="E91" s="166">
        <v>214.68396200000001</v>
      </c>
      <c r="F91" s="166">
        <v>206.60469800000001</v>
      </c>
      <c r="G91" s="166">
        <v>207.90606</v>
      </c>
      <c r="H91" s="166">
        <v>213.69113200000001</v>
      </c>
      <c r="I91" s="166">
        <v>274.34556800000001</v>
      </c>
      <c r="J91" s="166">
        <v>334.32576699999998</v>
      </c>
      <c r="K91" s="166">
        <v>246.11744899999999</v>
      </c>
      <c r="L91" s="166">
        <v>233.64673300000001</v>
      </c>
      <c r="M91" s="166">
        <v>228.35513399999999</v>
      </c>
      <c r="N91" s="166">
        <v>287.61223999999999</v>
      </c>
      <c r="O91" s="166">
        <v>284.762474</v>
      </c>
      <c r="P91" s="166">
        <v>87.317293000000006</v>
      </c>
      <c r="Q91"/>
      <c r="R91"/>
      <c r="S91"/>
      <c r="T91"/>
      <c r="U91"/>
      <c r="V91"/>
      <c r="W91"/>
      <c r="X91"/>
      <c r="Y91"/>
      <c r="Z91"/>
    </row>
    <row r="92" spans="1:26" ht="15">
      <c r="A92" s="215"/>
      <c r="B92" s="127" t="s">
        <v>24</v>
      </c>
      <c r="C92" s="166">
        <v>0</v>
      </c>
      <c r="D92" s="166">
        <v>0</v>
      </c>
      <c r="E92" s="166">
        <v>0</v>
      </c>
      <c r="F92" s="166">
        <v>0</v>
      </c>
      <c r="G92" s="166">
        <v>0</v>
      </c>
      <c r="H92" s="166">
        <v>0</v>
      </c>
      <c r="I92" s="166">
        <v>0</v>
      </c>
      <c r="J92" s="166">
        <v>0</v>
      </c>
      <c r="K92" s="166">
        <v>0</v>
      </c>
      <c r="L92" s="166">
        <v>0</v>
      </c>
      <c r="M92" s="166">
        <v>0</v>
      </c>
      <c r="N92" s="166">
        <v>0</v>
      </c>
      <c r="O92" s="166">
        <v>0</v>
      </c>
      <c r="P92" s="166">
        <v>0</v>
      </c>
      <c r="Q92"/>
      <c r="R92"/>
      <c r="S92"/>
      <c r="T92"/>
      <c r="U92"/>
      <c r="V92"/>
      <c r="W92"/>
      <c r="X92"/>
      <c r="Y92"/>
      <c r="Z92"/>
    </row>
    <row r="93" spans="1:26" ht="15">
      <c r="A93" s="215"/>
      <c r="B93" s="127" t="s">
        <v>5</v>
      </c>
      <c r="C93" s="166">
        <v>0</v>
      </c>
      <c r="D93" s="166">
        <v>0</v>
      </c>
      <c r="E93" s="166">
        <v>0</v>
      </c>
      <c r="F93" s="166">
        <v>0</v>
      </c>
      <c r="G93" s="166">
        <v>0</v>
      </c>
      <c r="H93" s="166">
        <v>0</v>
      </c>
      <c r="I93" s="166">
        <v>0</v>
      </c>
      <c r="J93" s="166">
        <v>0</v>
      </c>
      <c r="K93" s="166">
        <v>0</v>
      </c>
      <c r="L93" s="166">
        <v>0</v>
      </c>
      <c r="M93" s="166">
        <v>0</v>
      </c>
      <c r="N93" s="166">
        <v>0</v>
      </c>
      <c r="O93" s="166">
        <v>0</v>
      </c>
      <c r="P93" s="166">
        <v>0</v>
      </c>
      <c r="Q93"/>
      <c r="R93"/>
      <c r="S93"/>
      <c r="T93"/>
      <c r="U93"/>
      <c r="V93"/>
      <c r="W93"/>
      <c r="X93"/>
      <c r="Y93"/>
      <c r="Z93"/>
    </row>
    <row r="94" spans="1:26" ht="15">
      <c r="A94" s="215"/>
      <c r="B94" s="127" t="s">
        <v>4</v>
      </c>
      <c r="C94" s="166">
        <v>24.205653000000002</v>
      </c>
      <c r="D94" s="166">
        <v>30.786093000000001</v>
      </c>
      <c r="E94" s="166">
        <v>45.328431999999999</v>
      </c>
      <c r="F94" s="166">
        <v>44.651336999999998</v>
      </c>
      <c r="G94" s="166">
        <v>58.329237999999997</v>
      </c>
      <c r="H94" s="166">
        <v>53.302475000000001</v>
      </c>
      <c r="I94" s="166">
        <v>60.169364999999999</v>
      </c>
      <c r="J94" s="166">
        <v>55.465451999999999</v>
      </c>
      <c r="K94" s="166">
        <v>43.998294999999999</v>
      </c>
      <c r="L94" s="166">
        <v>38.814532</v>
      </c>
      <c r="M94" s="166">
        <v>26.937676</v>
      </c>
      <c r="N94" s="166">
        <v>24.958469999999998</v>
      </c>
      <c r="O94" s="166">
        <v>27.699960999999998</v>
      </c>
      <c r="P94" s="166">
        <v>13.623533</v>
      </c>
      <c r="Q94"/>
      <c r="R94"/>
      <c r="S94"/>
      <c r="T94"/>
      <c r="U94"/>
      <c r="V94"/>
      <c r="W94"/>
      <c r="X94"/>
      <c r="Y94"/>
      <c r="Z94"/>
    </row>
    <row r="95" spans="1:26" ht="15">
      <c r="A95" s="215"/>
      <c r="B95" s="127" t="s">
        <v>22</v>
      </c>
      <c r="C95" s="166">
        <v>0.10423</v>
      </c>
      <c r="D95" s="166">
        <v>3.9530000000000003E-2</v>
      </c>
      <c r="E95" s="166">
        <v>4.0002000000000003E-2</v>
      </c>
      <c r="F95" s="166">
        <v>1.5544000000000001E-2</v>
      </c>
      <c r="G95" s="166">
        <v>4.1384999999999998E-2</v>
      </c>
      <c r="H95" s="166">
        <v>7.8099000000000002E-2</v>
      </c>
      <c r="I95" s="166">
        <v>0.18402499999999999</v>
      </c>
      <c r="J95" s="166">
        <v>0.28992600000000002</v>
      </c>
      <c r="K95" s="166">
        <v>0.364813</v>
      </c>
      <c r="L95" s="166">
        <v>0.34994999999999998</v>
      </c>
      <c r="M95" s="166">
        <v>0.27039800000000003</v>
      </c>
      <c r="N95" s="166">
        <v>0.23000100000000001</v>
      </c>
      <c r="O95" s="166">
        <v>0.256185</v>
      </c>
      <c r="P95" s="166">
        <v>9.4008999999999995E-2</v>
      </c>
      <c r="Q95"/>
      <c r="R95"/>
      <c r="S95"/>
      <c r="T95"/>
      <c r="U95"/>
      <c r="V95"/>
      <c r="W95"/>
      <c r="X95"/>
      <c r="Y95"/>
      <c r="Z95"/>
    </row>
    <row r="96" spans="1:26" ht="15">
      <c r="A96" s="215"/>
      <c r="B96" s="127" t="s">
        <v>23</v>
      </c>
      <c r="C96" s="166">
        <v>3.9370180000000001</v>
      </c>
      <c r="D96" s="166">
        <v>3.7397490000000002</v>
      </c>
      <c r="E96" s="166">
        <v>3.4851179999999999</v>
      </c>
      <c r="F96" s="166">
        <v>1.9095409999999999</v>
      </c>
      <c r="G96" s="166">
        <v>3.5397620000000001</v>
      </c>
      <c r="H96" s="166">
        <v>3.4609559999999999</v>
      </c>
      <c r="I96" s="166">
        <v>3.2774670000000001</v>
      </c>
      <c r="J96" s="166">
        <v>3.1243509999999999</v>
      </c>
      <c r="K96" s="166">
        <v>2.778902</v>
      </c>
      <c r="L96" s="166">
        <v>2.2852030000000001</v>
      </c>
      <c r="M96" s="166">
        <v>1.8790750000000001</v>
      </c>
      <c r="N96" s="166">
        <v>3.2668629999999999</v>
      </c>
      <c r="O96" s="166">
        <v>3.6863090000000001</v>
      </c>
      <c r="P96" s="166">
        <v>1.4572000000000001</v>
      </c>
      <c r="Q96"/>
      <c r="R96"/>
      <c r="S96"/>
      <c r="T96"/>
      <c r="U96"/>
      <c r="V96"/>
      <c r="W96"/>
      <c r="X96"/>
      <c r="Y96"/>
      <c r="Z96"/>
    </row>
    <row r="97" spans="1:26" ht="15">
      <c r="A97" s="215"/>
      <c r="B97" s="127" t="s">
        <v>46</v>
      </c>
      <c r="C97" s="166">
        <v>10.485035</v>
      </c>
      <c r="D97" s="166">
        <v>5.6085469999999997</v>
      </c>
      <c r="E97" s="166">
        <v>12.829401000000001</v>
      </c>
      <c r="F97" s="166">
        <v>11.323399</v>
      </c>
      <c r="G97" s="166">
        <v>12.2750895</v>
      </c>
      <c r="H97" s="166">
        <v>16.584269500000001</v>
      </c>
      <c r="I97" s="166">
        <v>15.726691000000001</v>
      </c>
      <c r="J97" s="166">
        <v>15.578734000000001</v>
      </c>
      <c r="K97" s="166">
        <v>14.1961285</v>
      </c>
      <c r="L97" s="166">
        <v>9.2427220000000005</v>
      </c>
      <c r="M97" s="166">
        <v>9.5122354999999992</v>
      </c>
      <c r="N97" s="166">
        <v>12.261645</v>
      </c>
      <c r="O97" s="166">
        <v>10.134332000000001</v>
      </c>
      <c r="P97" s="166">
        <v>3.8580000000000001</v>
      </c>
      <c r="Q97"/>
      <c r="R97"/>
      <c r="S97"/>
      <c r="T97"/>
      <c r="U97"/>
      <c r="V97"/>
      <c r="W97"/>
      <c r="X97"/>
      <c r="Y97"/>
      <c r="Z97"/>
    </row>
    <row r="98" spans="1:26" ht="15">
      <c r="A98" s="215"/>
      <c r="B98" s="127" t="s">
        <v>47</v>
      </c>
      <c r="C98" s="166">
        <v>10.485035</v>
      </c>
      <c r="D98" s="166">
        <v>5.6085469999999997</v>
      </c>
      <c r="E98" s="166">
        <v>12.829401000000001</v>
      </c>
      <c r="F98" s="166">
        <v>11.323399</v>
      </c>
      <c r="G98" s="166">
        <v>12.2750895</v>
      </c>
      <c r="H98" s="166">
        <v>16.584269500000001</v>
      </c>
      <c r="I98" s="166">
        <v>15.726691000000001</v>
      </c>
      <c r="J98" s="166">
        <v>15.578734000000001</v>
      </c>
      <c r="K98" s="166">
        <v>14.1961285</v>
      </c>
      <c r="L98" s="166">
        <v>9.2427220000000005</v>
      </c>
      <c r="M98" s="166">
        <v>9.5122354999999992</v>
      </c>
      <c r="N98" s="166">
        <v>12.261645</v>
      </c>
      <c r="O98" s="166">
        <v>10.134332000000001</v>
      </c>
      <c r="P98" s="166">
        <v>3.8580000000000001</v>
      </c>
      <c r="Q98"/>
      <c r="R98"/>
      <c r="S98"/>
      <c r="T98"/>
      <c r="U98"/>
      <c r="V98"/>
      <c r="W98"/>
      <c r="X98"/>
      <c r="Y98"/>
      <c r="Z98"/>
    </row>
    <row r="99" spans="1:26" ht="15">
      <c r="A99" s="215"/>
      <c r="B99" s="131" t="s">
        <v>2</v>
      </c>
      <c r="C99" s="167">
        <v>326.57463200000001</v>
      </c>
      <c r="D99" s="167">
        <v>295.353679</v>
      </c>
      <c r="E99" s="167">
        <v>320.70925999999997</v>
      </c>
      <c r="F99" s="167">
        <v>324.59531099999998</v>
      </c>
      <c r="G99" s="167">
        <v>361.88103799999999</v>
      </c>
      <c r="H99" s="167">
        <v>395.72482000000002</v>
      </c>
      <c r="I99" s="167">
        <v>476.83968700000003</v>
      </c>
      <c r="J99" s="167">
        <v>545.50215800000001</v>
      </c>
      <c r="K99" s="167">
        <v>395.380853</v>
      </c>
      <c r="L99" s="167">
        <v>359.82193699999999</v>
      </c>
      <c r="M99" s="167">
        <v>306.726585</v>
      </c>
      <c r="N99" s="167">
        <v>374.31794600000001</v>
      </c>
      <c r="O99" s="167">
        <v>373.71885400000002</v>
      </c>
      <c r="P99" s="167">
        <v>144.96635699999999</v>
      </c>
      <c r="Q99"/>
      <c r="R99"/>
      <c r="S99"/>
      <c r="T99"/>
      <c r="U99"/>
      <c r="V99"/>
      <c r="W99"/>
      <c r="X99"/>
      <c r="Y99"/>
      <c r="Z99"/>
    </row>
    <row r="100" spans="1:26" ht="15">
      <c r="A100" s="215"/>
      <c r="B100" s="127" t="s">
        <v>111</v>
      </c>
      <c r="C100" s="166">
        <v>2.9220000000000001E-3</v>
      </c>
      <c r="D100" s="166">
        <v>0</v>
      </c>
      <c r="E100" s="166">
        <v>2.3219999999999998E-3</v>
      </c>
      <c r="F100" s="166">
        <v>0</v>
      </c>
      <c r="G100" s="166">
        <v>8.5810000000000001E-3</v>
      </c>
      <c r="H100" s="166">
        <v>1.8225999999999999E-2</v>
      </c>
      <c r="I100" s="166">
        <v>0</v>
      </c>
      <c r="J100" s="166">
        <v>0</v>
      </c>
      <c r="K100" s="166">
        <v>4.75E-4</v>
      </c>
      <c r="L100" s="166">
        <v>5.6973000000000003E-2</v>
      </c>
      <c r="M100" s="166">
        <v>4.3603000000000003E-2</v>
      </c>
      <c r="N100" s="166">
        <v>1.0196999999999999E-2</v>
      </c>
      <c r="O100" s="166">
        <v>5.3210000000000002E-3</v>
      </c>
      <c r="P100" s="166">
        <v>0</v>
      </c>
      <c r="Q100"/>
      <c r="R100"/>
      <c r="S100"/>
      <c r="T100"/>
      <c r="U100"/>
      <c r="V100"/>
      <c r="W100"/>
      <c r="X100"/>
      <c r="Y100"/>
      <c r="Z100"/>
    </row>
    <row r="101" spans="1:26" ht="15">
      <c r="A101" s="215"/>
      <c r="B101" s="127" t="s">
        <v>112</v>
      </c>
      <c r="C101" s="166">
        <v>-2.2768E-2</v>
      </c>
      <c r="D101" s="166">
        <v>-1.0208999999999999E-2</v>
      </c>
      <c r="E101" s="166">
        <v>-3.2804E-2</v>
      </c>
      <c r="F101" s="166">
        <v>-4.0090000000000004E-3</v>
      </c>
      <c r="G101" s="166">
        <v>-3.6989000000000001E-2</v>
      </c>
      <c r="H101" s="166">
        <v>-6.3725000000000004E-2</v>
      </c>
      <c r="I101" s="166">
        <v>-5.3999999999999998E-5</v>
      </c>
      <c r="J101" s="166">
        <v>-1.776E-3</v>
      </c>
      <c r="K101" s="166">
        <v>-9.0050000000000009E-3</v>
      </c>
      <c r="L101" s="166">
        <v>-0.12790699999999999</v>
      </c>
      <c r="M101" s="166">
        <v>-8.7809999999999999E-2</v>
      </c>
      <c r="N101" s="166">
        <v>-2.4122000000000001E-2</v>
      </c>
      <c r="O101" s="166">
        <v>-2.0024E-2</v>
      </c>
      <c r="P101" s="166">
        <v>0</v>
      </c>
      <c r="Q101"/>
      <c r="R101"/>
      <c r="S101"/>
      <c r="T101"/>
      <c r="U101"/>
      <c r="V101"/>
      <c r="W101"/>
      <c r="X101"/>
      <c r="Y101"/>
      <c r="Z101"/>
    </row>
    <row r="102" spans="1:26" ht="15">
      <c r="A102" s="215"/>
      <c r="B102" s="127" t="s">
        <v>21</v>
      </c>
      <c r="C102" s="166">
        <v>122.760274</v>
      </c>
      <c r="D102" s="166">
        <v>114.74408200000001</v>
      </c>
      <c r="E102" s="166">
        <v>110.667727</v>
      </c>
      <c r="F102" s="166">
        <v>109.36235000000001</v>
      </c>
      <c r="G102" s="166">
        <v>117.764884</v>
      </c>
      <c r="H102" s="166">
        <v>145.36358899999999</v>
      </c>
      <c r="I102" s="166">
        <v>208.454387</v>
      </c>
      <c r="J102" s="166">
        <v>187.956546</v>
      </c>
      <c r="K102" s="166">
        <v>162.00915900000001</v>
      </c>
      <c r="L102" s="166">
        <v>144.54443599999999</v>
      </c>
      <c r="M102" s="166">
        <v>78.195680999999993</v>
      </c>
      <c r="N102" s="166">
        <v>77.984769</v>
      </c>
      <c r="O102" s="166">
        <v>85.443509000000006</v>
      </c>
      <c r="P102" s="166">
        <v>43.735900000000001</v>
      </c>
      <c r="Q102"/>
      <c r="R102"/>
      <c r="S102"/>
      <c r="T102"/>
      <c r="U102"/>
      <c r="V102"/>
      <c r="W102"/>
      <c r="X102"/>
      <c r="Y102"/>
      <c r="Z102"/>
    </row>
    <row r="103" spans="1:26" ht="15">
      <c r="A103" s="216"/>
      <c r="B103" s="131" t="s">
        <v>71</v>
      </c>
      <c r="C103" s="167">
        <v>449.31506000000002</v>
      </c>
      <c r="D103" s="167">
        <v>410.08755200000002</v>
      </c>
      <c r="E103" s="167">
        <v>431.34650499999998</v>
      </c>
      <c r="F103" s="167">
        <v>433.95365199999998</v>
      </c>
      <c r="G103" s="167">
        <v>479.61751400000003</v>
      </c>
      <c r="H103" s="167">
        <v>541.04291000000001</v>
      </c>
      <c r="I103" s="167">
        <v>685.29402000000005</v>
      </c>
      <c r="J103" s="167">
        <v>733.45692799999995</v>
      </c>
      <c r="K103" s="167">
        <v>557.38148200000001</v>
      </c>
      <c r="L103" s="167">
        <v>504.29543899999999</v>
      </c>
      <c r="M103" s="167">
        <v>384.87805900000001</v>
      </c>
      <c r="N103" s="167">
        <v>452.28879000000001</v>
      </c>
      <c r="O103" s="167">
        <v>459.14765999999997</v>
      </c>
      <c r="P103" s="167">
        <v>188.702257</v>
      </c>
      <c r="Q103"/>
      <c r="R103"/>
      <c r="S103"/>
      <c r="T103"/>
      <c r="U103"/>
      <c r="V103"/>
      <c r="W103"/>
      <c r="X103"/>
      <c r="Y103"/>
      <c r="Z103"/>
    </row>
    <row r="104" spans="1:26" ht="15">
      <c r="A104" s="219" t="s">
        <v>50</v>
      </c>
      <c r="B104" s="127" t="s">
        <v>12</v>
      </c>
      <c r="C104" s="166">
        <v>0.29624200000000001</v>
      </c>
      <c r="D104" s="166">
        <v>0.28508299999999998</v>
      </c>
      <c r="E104" s="166">
        <v>0.272924</v>
      </c>
      <c r="F104" s="166">
        <v>0.258407</v>
      </c>
      <c r="G104" s="166">
        <v>0.28213199999999999</v>
      </c>
      <c r="H104" s="166">
        <v>0.27541500000000002</v>
      </c>
      <c r="I104" s="166">
        <v>0.290603</v>
      </c>
      <c r="J104" s="166">
        <v>0.28181699999999998</v>
      </c>
      <c r="K104" s="166">
        <v>0.27621200000000001</v>
      </c>
      <c r="L104" s="166">
        <v>0.29845300000000002</v>
      </c>
      <c r="M104" s="166">
        <v>0.28431800000000002</v>
      </c>
      <c r="N104" s="166">
        <v>0.28783500000000001</v>
      </c>
      <c r="O104" s="166">
        <v>0.285242</v>
      </c>
      <c r="P104" s="166">
        <v>0</v>
      </c>
      <c r="Q104"/>
      <c r="R104"/>
      <c r="S104"/>
      <c r="T104"/>
      <c r="U104"/>
      <c r="V104"/>
      <c r="W104"/>
      <c r="X104"/>
      <c r="Y104"/>
      <c r="Z104"/>
    </row>
    <row r="105" spans="1:26" ht="15">
      <c r="A105" s="215"/>
      <c r="B105" s="127" t="s">
        <v>70</v>
      </c>
      <c r="C105" s="166">
        <v>169.88187400000001</v>
      </c>
      <c r="D105" s="166">
        <v>150.50368700000001</v>
      </c>
      <c r="E105" s="166">
        <v>159.11780200000001</v>
      </c>
      <c r="F105" s="166">
        <v>147.29312100000001</v>
      </c>
      <c r="G105" s="166">
        <v>146.28192000000001</v>
      </c>
      <c r="H105" s="166">
        <v>150.704353</v>
      </c>
      <c r="I105" s="166">
        <v>160.623885</v>
      </c>
      <c r="J105" s="166">
        <v>152.78751800000001</v>
      </c>
      <c r="K105" s="166">
        <v>158.02361400000001</v>
      </c>
      <c r="L105" s="166">
        <v>161.225874</v>
      </c>
      <c r="M105" s="166">
        <v>162.623898</v>
      </c>
      <c r="N105" s="166">
        <v>158.879446</v>
      </c>
      <c r="O105" s="166">
        <v>164.446281</v>
      </c>
      <c r="P105" s="166">
        <v>58.473720999999998</v>
      </c>
      <c r="Q105"/>
      <c r="R105"/>
      <c r="S105"/>
      <c r="T105"/>
      <c r="U105"/>
      <c r="V105"/>
      <c r="W105"/>
      <c r="X105"/>
      <c r="Y105"/>
      <c r="Z105"/>
    </row>
    <row r="106" spans="1:26" ht="15">
      <c r="A106" s="215"/>
      <c r="B106" s="127" t="s">
        <v>9</v>
      </c>
      <c r="C106" s="166">
        <v>28.281392</v>
      </c>
      <c r="D106" s="166">
        <v>23.554095</v>
      </c>
      <c r="E106" s="166">
        <v>23.025227000000001</v>
      </c>
      <c r="F106" s="166">
        <v>15.266852</v>
      </c>
      <c r="G106" s="166">
        <v>13.422698</v>
      </c>
      <c r="H106" s="166">
        <v>26.814177000000001</v>
      </c>
      <c r="I106" s="166">
        <v>16.554684000000002</v>
      </c>
      <c r="J106" s="166">
        <v>15.849519000000001</v>
      </c>
      <c r="K106" s="166">
        <v>24.502908999999999</v>
      </c>
      <c r="L106" s="166">
        <v>16.364426999999999</v>
      </c>
      <c r="M106" s="166">
        <v>29.713279</v>
      </c>
      <c r="N106" s="166">
        <v>20.429556000000002</v>
      </c>
      <c r="O106" s="166">
        <v>37.045735999999998</v>
      </c>
      <c r="P106" s="166">
        <v>7.411511</v>
      </c>
      <c r="Q106"/>
      <c r="R106"/>
      <c r="S106"/>
      <c r="T106"/>
      <c r="U106"/>
      <c r="V106"/>
      <c r="W106"/>
      <c r="X106"/>
      <c r="Y106"/>
      <c r="Z106"/>
    </row>
    <row r="107" spans="1:26" ht="15">
      <c r="A107" s="215"/>
      <c r="B107" s="127" t="s">
        <v>8</v>
      </c>
      <c r="C107" s="166">
        <v>121.758736</v>
      </c>
      <c r="D107" s="166">
        <v>103.04591600000001</v>
      </c>
      <c r="E107" s="166">
        <v>118.98512599999999</v>
      </c>
      <c r="F107" s="166">
        <v>101.478588</v>
      </c>
      <c r="G107" s="166">
        <v>109.30998200000001</v>
      </c>
      <c r="H107" s="166">
        <v>82.237212</v>
      </c>
      <c r="I107" s="166">
        <v>108.818316</v>
      </c>
      <c r="J107" s="166">
        <v>104.478976</v>
      </c>
      <c r="K107" s="166">
        <v>76.899137999999994</v>
      </c>
      <c r="L107" s="166">
        <v>89.300011999999995</v>
      </c>
      <c r="M107" s="166">
        <v>91.813715999999999</v>
      </c>
      <c r="N107" s="166">
        <v>71.233320000000006</v>
      </c>
      <c r="O107" s="166">
        <v>82.867552000000003</v>
      </c>
      <c r="P107" s="166">
        <v>42.859707999999998</v>
      </c>
      <c r="Q107"/>
      <c r="R107"/>
      <c r="S107"/>
      <c r="T107"/>
      <c r="U107"/>
      <c r="V107"/>
      <c r="W107"/>
      <c r="X107"/>
      <c r="Y107"/>
      <c r="Z107"/>
    </row>
    <row r="108" spans="1:26" ht="15">
      <c r="A108" s="215"/>
      <c r="B108" s="127" t="s">
        <v>25</v>
      </c>
      <c r="C108" s="166">
        <v>349.62675200000001</v>
      </c>
      <c r="D108" s="166">
        <v>283.485344</v>
      </c>
      <c r="E108" s="166">
        <v>307.37834299999997</v>
      </c>
      <c r="F108" s="166">
        <v>316.11086599999999</v>
      </c>
      <c r="G108" s="166">
        <v>261.3288</v>
      </c>
      <c r="H108" s="166">
        <v>271.16905600000001</v>
      </c>
      <c r="I108" s="166">
        <v>265.51519999999999</v>
      </c>
      <c r="J108" s="166">
        <v>260.370474</v>
      </c>
      <c r="K108" s="166">
        <v>296.23593199999999</v>
      </c>
      <c r="L108" s="166">
        <v>354.842107</v>
      </c>
      <c r="M108" s="166">
        <v>391.60655400000002</v>
      </c>
      <c r="N108" s="166">
        <v>377.87321400000002</v>
      </c>
      <c r="O108" s="166">
        <v>342.56568199999998</v>
      </c>
      <c r="P108" s="166">
        <v>98.892110000000002</v>
      </c>
      <c r="Q108"/>
      <c r="R108"/>
      <c r="S108"/>
      <c r="T108"/>
      <c r="U108"/>
      <c r="V108"/>
      <c r="W108"/>
      <c r="X108"/>
      <c r="Y108"/>
      <c r="Z108"/>
    </row>
    <row r="109" spans="1:26" ht="15">
      <c r="A109" s="215"/>
      <c r="B109" s="127" t="s">
        <v>6</v>
      </c>
      <c r="C109" s="166">
        <v>0.73928799999999995</v>
      </c>
      <c r="D109" s="166">
        <v>1.4498660000000001</v>
      </c>
      <c r="E109" s="166">
        <v>1.626099</v>
      </c>
      <c r="F109" s="166">
        <v>1.3224050000000001</v>
      </c>
      <c r="G109" s="166">
        <v>2.25665</v>
      </c>
      <c r="H109" s="166">
        <v>2.6416550000000001</v>
      </c>
      <c r="I109" s="166">
        <v>3.5113099999999999</v>
      </c>
      <c r="J109" s="166">
        <v>3.975784</v>
      </c>
      <c r="K109" s="166">
        <v>2.271474</v>
      </c>
      <c r="L109" s="166">
        <v>1.869634</v>
      </c>
      <c r="M109" s="166">
        <v>0.32408100000000001</v>
      </c>
      <c r="N109" s="166">
        <v>1.363745</v>
      </c>
      <c r="O109" s="166">
        <v>1.249555</v>
      </c>
      <c r="P109" s="166">
        <v>0.45261000000000001</v>
      </c>
      <c r="Q109"/>
      <c r="R109"/>
      <c r="S109"/>
      <c r="T109"/>
      <c r="U109"/>
      <c r="V109"/>
      <c r="W109"/>
      <c r="X109"/>
      <c r="Y109"/>
      <c r="Z109"/>
    </row>
    <row r="110" spans="1:26" ht="15">
      <c r="A110" s="215"/>
      <c r="B110" s="127" t="s">
        <v>5</v>
      </c>
      <c r="C110" s="166">
        <v>53.153264999999998</v>
      </c>
      <c r="D110" s="166">
        <v>108.660585</v>
      </c>
      <c r="E110" s="166">
        <v>89.216486000000003</v>
      </c>
      <c r="F110" s="166">
        <v>94.672573</v>
      </c>
      <c r="G110" s="166">
        <v>147.02184</v>
      </c>
      <c r="H110" s="166">
        <v>129.86778200000001</v>
      </c>
      <c r="I110" s="166">
        <v>169.43657200000001</v>
      </c>
      <c r="J110" s="166">
        <v>210.63246799999999</v>
      </c>
      <c r="K110" s="166">
        <v>148.53897900000001</v>
      </c>
      <c r="L110" s="166">
        <v>116.739524</v>
      </c>
      <c r="M110" s="166">
        <v>42.197834</v>
      </c>
      <c r="N110" s="166">
        <v>98.604337999999998</v>
      </c>
      <c r="O110" s="166">
        <v>94.728306000000003</v>
      </c>
      <c r="P110" s="166">
        <v>45.331096000000002</v>
      </c>
      <c r="Q110"/>
      <c r="R110"/>
      <c r="S110"/>
      <c r="T110"/>
      <c r="U110"/>
      <c r="V110"/>
      <c r="W110"/>
      <c r="X110"/>
      <c r="Y110"/>
      <c r="Z110"/>
    </row>
    <row r="111" spans="1:26" ht="15">
      <c r="A111" s="215"/>
      <c r="B111" s="127" t="s">
        <v>4</v>
      </c>
      <c r="C111" s="166">
        <v>24.766017999999999</v>
      </c>
      <c r="D111" s="166">
        <v>26.429468</v>
      </c>
      <c r="E111" s="166">
        <v>32.017468999999998</v>
      </c>
      <c r="F111" s="166">
        <v>36.076476</v>
      </c>
      <c r="G111" s="166">
        <v>35.820442999999997</v>
      </c>
      <c r="H111" s="166">
        <v>36.284447</v>
      </c>
      <c r="I111" s="166">
        <v>42.800131</v>
      </c>
      <c r="J111" s="166">
        <v>40.863112000000001</v>
      </c>
      <c r="K111" s="166">
        <v>37.483722</v>
      </c>
      <c r="L111" s="166">
        <v>36.283222000000002</v>
      </c>
      <c r="M111" s="166">
        <v>28.453948</v>
      </c>
      <c r="N111" s="166">
        <v>27.273921999999999</v>
      </c>
      <c r="O111" s="166">
        <v>32.038106999999997</v>
      </c>
      <c r="P111" s="166">
        <v>11.882659</v>
      </c>
      <c r="Q111"/>
      <c r="R111"/>
      <c r="S111"/>
      <c r="T111"/>
      <c r="U111"/>
      <c r="V111"/>
      <c r="W111"/>
      <c r="X111"/>
      <c r="Y111"/>
      <c r="Z111"/>
    </row>
    <row r="112" spans="1:26" ht="15">
      <c r="A112" s="215"/>
      <c r="B112" s="127" t="s">
        <v>22</v>
      </c>
      <c r="C112" s="166">
        <v>0.50013399999999997</v>
      </c>
      <c r="D112" s="166">
        <v>0.49944300000000003</v>
      </c>
      <c r="E112" s="166">
        <v>0.57839200000000002</v>
      </c>
      <c r="F112" s="166">
        <v>0.26424700000000001</v>
      </c>
      <c r="G112" s="166">
        <v>0.430983</v>
      </c>
      <c r="H112" s="166">
        <v>0.49796200000000002</v>
      </c>
      <c r="I112" s="166">
        <v>0.62341999999999997</v>
      </c>
      <c r="J112" s="166">
        <v>1.3289139999999999</v>
      </c>
      <c r="K112" s="166">
        <v>1.1101749999999999</v>
      </c>
      <c r="L112" s="166">
        <v>1.1028469999999999</v>
      </c>
      <c r="M112" s="166">
        <v>1.1775519999999999</v>
      </c>
      <c r="N112" s="166">
        <v>1.130485</v>
      </c>
      <c r="O112" s="166">
        <v>1.127931</v>
      </c>
      <c r="P112" s="166">
        <v>0</v>
      </c>
      <c r="Q112"/>
      <c r="R112"/>
      <c r="S112"/>
      <c r="T112"/>
      <c r="U112"/>
      <c r="V112"/>
      <c r="W112"/>
      <c r="X112"/>
      <c r="Y112"/>
      <c r="Z112"/>
    </row>
    <row r="113" spans="1:26" ht="15">
      <c r="A113" s="215"/>
      <c r="B113" s="131" t="s">
        <v>2</v>
      </c>
      <c r="C113" s="167">
        <v>749.00370099999998</v>
      </c>
      <c r="D113" s="167">
        <v>697.91348700000003</v>
      </c>
      <c r="E113" s="167">
        <v>732.21786799999995</v>
      </c>
      <c r="F113" s="167">
        <v>712.74353499999995</v>
      </c>
      <c r="G113" s="167">
        <v>716.15544799999998</v>
      </c>
      <c r="H113" s="167">
        <v>700.49205900000004</v>
      </c>
      <c r="I113" s="167">
        <v>768.17412100000001</v>
      </c>
      <c r="J113" s="167">
        <v>790.56858199999999</v>
      </c>
      <c r="K113" s="167">
        <v>745.34215500000005</v>
      </c>
      <c r="L113" s="167">
        <v>778.02610000000004</v>
      </c>
      <c r="M113" s="167">
        <v>748.19518000000005</v>
      </c>
      <c r="N113" s="167">
        <v>757.07586100000003</v>
      </c>
      <c r="O113" s="167">
        <v>756.35439199999996</v>
      </c>
      <c r="P113" s="167">
        <v>265.30341499999997</v>
      </c>
      <c r="Q113"/>
      <c r="R113"/>
      <c r="S113"/>
      <c r="T113"/>
      <c r="U113"/>
      <c r="V113"/>
      <c r="W113"/>
      <c r="X113"/>
      <c r="Y113"/>
      <c r="Z113"/>
    </row>
    <row r="114" spans="1:26" ht="15">
      <c r="A114" s="216"/>
      <c r="B114" s="131" t="s">
        <v>71</v>
      </c>
      <c r="C114" s="167">
        <v>749.00370099999998</v>
      </c>
      <c r="D114" s="167">
        <v>697.91348700000003</v>
      </c>
      <c r="E114" s="167">
        <v>732.21786799999995</v>
      </c>
      <c r="F114" s="167">
        <v>712.74353499999995</v>
      </c>
      <c r="G114" s="167">
        <v>716.15544799999998</v>
      </c>
      <c r="H114" s="167">
        <v>700.49205900000004</v>
      </c>
      <c r="I114" s="167">
        <v>768.17412100000001</v>
      </c>
      <c r="J114" s="167">
        <v>790.56858199999999</v>
      </c>
      <c r="K114" s="167">
        <v>745.34215500000005</v>
      </c>
      <c r="L114" s="167">
        <v>778.02610000000004</v>
      </c>
      <c r="M114" s="167">
        <v>748.19518000000005</v>
      </c>
      <c r="N114" s="167">
        <v>757.07586100000003</v>
      </c>
      <c r="O114" s="167">
        <v>756.35439199999996</v>
      </c>
      <c r="P114" s="167">
        <v>265.30341499999997</v>
      </c>
      <c r="Q114"/>
      <c r="R114"/>
      <c r="S114"/>
      <c r="T114"/>
      <c r="U114"/>
      <c r="V114"/>
      <c r="W114"/>
      <c r="X114"/>
      <c r="Y114"/>
      <c r="Z114"/>
    </row>
    <row r="115" spans="1:26" ht="13.9" customHeight="1">
      <c r="A115" s="174"/>
      <c r="B115" s="131" t="s">
        <v>71</v>
      </c>
      <c r="C115" s="167">
        <v>719.42066</v>
      </c>
      <c r="D115" s="167">
        <v>650.39298299999996</v>
      </c>
      <c r="E115" s="167">
        <v>713.582358</v>
      </c>
      <c r="F115" s="167">
        <v>675.99098200000003</v>
      </c>
      <c r="G115" s="167">
        <v>702.09189000000003</v>
      </c>
      <c r="H115" s="167">
        <v>713.71319300000005</v>
      </c>
      <c r="I115" s="167">
        <v>762.82525099999998</v>
      </c>
      <c r="J115" s="167">
        <v>802.59653400000002</v>
      </c>
      <c r="K115" s="167">
        <v>744.78947700000003</v>
      </c>
      <c r="L115" s="167">
        <v>804.27724599999999</v>
      </c>
      <c r="M115" s="167">
        <v>731.55021499999998</v>
      </c>
      <c r="N115" s="167">
        <v>733.95237899999995</v>
      </c>
      <c r="O115" s="167">
        <v>741.16554399999995</v>
      </c>
      <c r="P115" s="167">
        <v>691.32410200000004</v>
      </c>
      <c r="Q115"/>
      <c r="R115"/>
      <c r="S115"/>
      <c r="T115"/>
      <c r="U115"/>
      <c r="V115"/>
      <c r="W115"/>
      <c r="X115"/>
      <c r="Y115"/>
      <c r="Z115"/>
    </row>
    <row r="116" spans="1:26" ht="1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ht="12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</row>
    <row r="119" spans="1:26">
      <c r="B119" s="212" t="s">
        <v>65</v>
      </c>
      <c r="C119" s="108" t="str">
        <f>TEXT(EDATE(D119,-1),"mmmm aaaa")</f>
        <v>enero 2024</v>
      </c>
      <c r="D119" s="108" t="str">
        <f t="shared" ref="D119:M119" si="6">TEXT(EDATE(E119,-1),"mmmm aaaa")</f>
        <v>febrero 2024</v>
      </c>
      <c r="E119" s="108" t="str">
        <f t="shared" si="6"/>
        <v>marzo 2024</v>
      </c>
      <c r="F119" s="108" t="str">
        <f t="shared" si="6"/>
        <v>abril 2024</v>
      </c>
      <c r="G119" s="108" t="str">
        <f t="shared" si="6"/>
        <v>mayo 2024</v>
      </c>
      <c r="H119" s="108" t="str">
        <f t="shared" si="6"/>
        <v>junio 2024</v>
      </c>
      <c r="I119" s="108" t="str">
        <f t="shared" si="6"/>
        <v>julio 2024</v>
      </c>
      <c r="J119" s="108" t="str">
        <f t="shared" si="6"/>
        <v>agosto 2024</v>
      </c>
      <c r="K119" s="108" t="str">
        <f t="shared" si="6"/>
        <v>septiembre 2024</v>
      </c>
      <c r="L119" s="108" t="str">
        <f t="shared" si="6"/>
        <v>octubre 2024</v>
      </c>
      <c r="M119" s="108" t="str">
        <f t="shared" si="6"/>
        <v>noviembre 2024</v>
      </c>
      <c r="N119" s="108" t="str">
        <f>TEXT(EDATE(O119,-1),"mmmm aaaa")</f>
        <v>diciembre 2024</v>
      </c>
      <c r="O119" s="109" t="str">
        <f>A2</f>
        <v>Enero 2025</v>
      </c>
    </row>
    <row r="120" spans="1:26">
      <c r="B120" s="213"/>
      <c r="C120" s="116" t="str">
        <f>TEXT(EDATE($A$2,-12),"mmm")&amp;".-"&amp;TEXT(EDATE($A$2,-12),"aa")</f>
        <v>ene.-24</v>
      </c>
      <c r="D120" s="116" t="str">
        <f>TEXT(EDATE($A$2,-11),"mmm")&amp;".-"&amp;TEXT(EDATE($A$2,-11),"aa")</f>
        <v>feb.-24</v>
      </c>
      <c r="E120" s="116" t="str">
        <f>TEXT(EDATE($A$2,-10),"mmm")&amp;".-"&amp;TEXT(EDATE($A$2,-10),"aa")</f>
        <v>mar.-24</v>
      </c>
      <c r="F120" s="116" t="str">
        <f>TEXT(EDATE($A$2,-9),"mmm")&amp;".-"&amp;TEXT(EDATE($A$2,-9),"aa")</f>
        <v>abr.-24</v>
      </c>
      <c r="G120" s="116" t="str">
        <f>TEXT(EDATE($A$2,-8),"mmm")&amp;".-"&amp;TEXT(EDATE($A$2,-8),"aa")</f>
        <v>may.-24</v>
      </c>
      <c r="H120" s="116" t="str">
        <f>TEXT(EDATE($A$2,-7),"mmm")&amp;".-"&amp;TEXT(EDATE($A$2,-7),"aa")</f>
        <v>jun.-24</v>
      </c>
      <c r="I120" s="116" t="str">
        <f>TEXT(EDATE($A$2,-6),"mmm")&amp;".-"&amp;TEXT(EDATE($A$2,-6),"aa")</f>
        <v>jul.-24</v>
      </c>
      <c r="J120" s="116" t="str">
        <f>TEXT(EDATE($A$2,-5),"mmm")&amp;".-"&amp;TEXT(EDATE($A$2,-5),"aa")</f>
        <v>ago.-24</v>
      </c>
      <c r="K120" s="116" t="str">
        <f>TEXT(EDATE($A$2,-4),"mmm")&amp;".-"&amp;TEXT(EDATE($A$2,-4),"aa")</f>
        <v>sep.-24</v>
      </c>
      <c r="L120" s="116" t="str">
        <f>TEXT(EDATE($A$2,-3),"mmm")&amp;".-"&amp;TEXT(EDATE($A$2,-3),"aa")</f>
        <v>oct.-24</v>
      </c>
      <c r="M120" s="116" t="str">
        <f>TEXT(EDATE($A$2,-2),"mmm")&amp;".-"&amp;TEXT(EDATE($A$2,-2),"aa")</f>
        <v>nov.-24</v>
      </c>
      <c r="N120" s="116" t="str">
        <f>TEXT(EDATE($A$2,-1),"mmm")&amp;".-"&amp;TEXT(EDATE($A$2,-1),"aa")</f>
        <v>dic.-24</v>
      </c>
      <c r="O120" s="136" t="str">
        <f>TEXT($A$2,"mmm")&amp;".-"&amp;TEXT($A$2,"aa")</f>
        <v>ene.-25</v>
      </c>
    </row>
    <row r="121" spans="1:26">
      <c r="A121" s="209" t="s">
        <v>68</v>
      </c>
      <c r="B121" s="117" t="s">
        <v>11</v>
      </c>
      <c r="C121" s="118">
        <f t="shared" ref="C121:O121" si="7">HLOOKUP(C$119,$86:$103,3,FALSE)</f>
        <v>0</v>
      </c>
      <c r="D121" s="118">
        <f t="shared" si="7"/>
        <v>0</v>
      </c>
      <c r="E121" s="118">
        <f t="shared" si="7"/>
        <v>0</v>
      </c>
      <c r="F121" s="118">
        <f t="shared" si="7"/>
        <v>0</v>
      </c>
      <c r="G121" s="118">
        <f t="shared" si="7"/>
        <v>25.151703999999999</v>
      </c>
      <c r="H121" s="118">
        <f t="shared" si="7"/>
        <v>29.836832000000001</v>
      </c>
      <c r="I121" s="118">
        <f t="shared" si="7"/>
        <v>3.0622039999999999</v>
      </c>
      <c r="J121" s="118">
        <f t="shared" si="7"/>
        <v>0</v>
      </c>
      <c r="K121" s="118">
        <f t="shared" si="7"/>
        <v>0</v>
      </c>
      <c r="L121" s="118">
        <f t="shared" si="7"/>
        <v>0</v>
      </c>
      <c r="M121" s="118">
        <f t="shared" si="7"/>
        <v>0</v>
      </c>
      <c r="N121" s="118">
        <f t="shared" si="7"/>
        <v>0</v>
      </c>
      <c r="O121" s="119">
        <f t="shared" si="7"/>
        <v>4.6319679999999996</v>
      </c>
    </row>
    <row r="122" spans="1:26">
      <c r="A122" s="210"/>
      <c r="B122" s="102" t="s">
        <v>10</v>
      </c>
      <c r="C122" s="104">
        <f t="shared" ref="C122:O122" si="8">HLOOKUP(C$119,$86:$103,4,FALSE)</f>
        <v>6.1979410000000001</v>
      </c>
      <c r="D122" s="104">
        <f t="shared" si="8"/>
        <v>5.7004010000000003</v>
      </c>
      <c r="E122" s="104">
        <f t="shared" si="8"/>
        <v>6.2874660000000002</v>
      </c>
      <c r="F122" s="104">
        <f t="shared" si="8"/>
        <v>18.937709000000002</v>
      </c>
      <c r="G122" s="104">
        <f t="shared" si="8"/>
        <v>12.634096</v>
      </c>
      <c r="H122" s="104">
        <f t="shared" si="8"/>
        <v>18.518857000000001</v>
      </c>
      <c r="I122" s="104">
        <f t="shared" si="8"/>
        <v>51.657288000000001</v>
      </c>
      <c r="J122" s="104">
        <f t="shared" si="8"/>
        <v>63.154792</v>
      </c>
      <c r="K122" s="104">
        <f t="shared" si="8"/>
        <v>37.101396999999999</v>
      </c>
      <c r="L122" s="104">
        <f t="shared" si="8"/>
        <v>25.321735</v>
      </c>
      <c r="M122" s="104">
        <f t="shared" si="8"/>
        <v>8.0420429999999996</v>
      </c>
      <c r="N122" s="104">
        <f t="shared" si="8"/>
        <v>8.2701910000000005</v>
      </c>
      <c r="O122" s="119">
        <f t="shared" si="8"/>
        <v>8.5854890000000008</v>
      </c>
    </row>
    <row r="123" spans="1:26">
      <c r="A123" s="210"/>
      <c r="B123" s="102" t="s">
        <v>9</v>
      </c>
      <c r="C123" s="104">
        <f t="shared" ref="C123:O123" si="9">HLOOKUP(C$119,$86:$103,5,FALSE)</f>
        <v>25.499687000000002</v>
      </c>
      <c r="D123" s="104">
        <f t="shared" si="9"/>
        <v>24.103729999999999</v>
      </c>
      <c r="E123" s="104">
        <f t="shared" si="9"/>
        <v>25.225477999999999</v>
      </c>
      <c r="F123" s="104">
        <f t="shared" si="9"/>
        <v>29.829684</v>
      </c>
      <c r="G123" s="104">
        <f t="shared" si="9"/>
        <v>29.728614</v>
      </c>
      <c r="H123" s="104">
        <f t="shared" si="9"/>
        <v>43.667929999999998</v>
      </c>
      <c r="I123" s="104">
        <f t="shared" si="9"/>
        <v>52.690387999999999</v>
      </c>
      <c r="J123" s="104">
        <f t="shared" si="9"/>
        <v>57.984402000000003</v>
      </c>
      <c r="K123" s="104">
        <f t="shared" si="9"/>
        <v>36.627740000000003</v>
      </c>
      <c r="L123" s="104">
        <f t="shared" si="9"/>
        <v>40.918340000000001</v>
      </c>
      <c r="M123" s="104">
        <f t="shared" si="9"/>
        <v>22.217787999999999</v>
      </c>
      <c r="N123" s="104">
        <f t="shared" si="9"/>
        <v>25.456890999999999</v>
      </c>
      <c r="O123" s="119">
        <f t="shared" si="9"/>
        <v>23.827804</v>
      </c>
    </row>
    <row r="124" spans="1:26" ht="14.25">
      <c r="A124" s="210"/>
      <c r="B124" s="102" t="s">
        <v>66</v>
      </c>
      <c r="C124" s="104">
        <f t="shared" ref="C124:O124" si="10">HLOOKUP(C$119,$86:$103,6,FALSE)</f>
        <v>245.660033</v>
      </c>
      <c r="D124" s="104">
        <f t="shared" si="10"/>
        <v>219.76708199999999</v>
      </c>
      <c r="E124" s="104">
        <f t="shared" si="10"/>
        <v>214.68396200000001</v>
      </c>
      <c r="F124" s="104">
        <f t="shared" si="10"/>
        <v>206.60469800000001</v>
      </c>
      <c r="G124" s="104">
        <f t="shared" si="10"/>
        <v>207.90606</v>
      </c>
      <c r="H124" s="104">
        <f t="shared" si="10"/>
        <v>213.69113200000001</v>
      </c>
      <c r="I124" s="104">
        <f t="shared" si="10"/>
        <v>274.34556800000001</v>
      </c>
      <c r="J124" s="104">
        <f t="shared" si="10"/>
        <v>334.32576699999998</v>
      </c>
      <c r="K124" s="104">
        <f t="shared" si="10"/>
        <v>246.11744899999999</v>
      </c>
      <c r="L124" s="104">
        <f t="shared" si="10"/>
        <v>233.64673300000001</v>
      </c>
      <c r="M124" s="104">
        <f t="shared" si="10"/>
        <v>228.35513399999999</v>
      </c>
      <c r="N124" s="104">
        <f t="shared" si="10"/>
        <v>287.61223999999999</v>
      </c>
      <c r="O124" s="119">
        <f t="shared" si="10"/>
        <v>284.762474</v>
      </c>
    </row>
    <row r="125" spans="1:26">
      <c r="A125" s="210"/>
      <c r="B125" s="102" t="s">
        <v>24</v>
      </c>
      <c r="C125" s="104">
        <f t="shared" ref="C125:O125" si="11">HLOOKUP(C$119,$86:$103,7,FALSE)</f>
        <v>0</v>
      </c>
      <c r="D125" s="104">
        <f t="shared" si="11"/>
        <v>0</v>
      </c>
      <c r="E125" s="104">
        <f t="shared" si="11"/>
        <v>0</v>
      </c>
      <c r="F125" s="104">
        <f t="shared" si="11"/>
        <v>0</v>
      </c>
      <c r="G125" s="104">
        <f t="shared" si="11"/>
        <v>0</v>
      </c>
      <c r="H125" s="104">
        <f t="shared" si="11"/>
        <v>0</v>
      </c>
      <c r="I125" s="104">
        <f t="shared" si="11"/>
        <v>0</v>
      </c>
      <c r="J125" s="104">
        <f t="shared" si="11"/>
        <v>0</v>
      </c>
      <c r="K125" s="104">
        <f t="shared" si="11"/>
        <v>0</v>
      </c>
      <c r="L125" s="104">
        <f t="shared" si="11"/>
        <v>0</v>
      </c>
      <c r="M125" s="104">
        <f t="shared" si="11"/>
        <v>0</v>
      </c>
      <c r="N125" s="104">
        <f t="shared" si="11"/>
        <v>0</v>
      </c>
      <c r="O125" s="119">
        <f t="shared" si="11"/>
        <v>0</v>
      </c>
    </row>
    <row r="126" spans="1:26">
      <c r="A126" s="210"/>
      <c r="B126" s="102" t="s">
        <v>5</v>
      </c>
      <c r="C126" s="104">
        <f t="shared" ref="C126:O126" si="12">HLOOKUP(C$119,$86:$104,8,FALSE)</f>
        <v>0</v>
      </c>
      <c r="D126" s="104">
        <f t="shared" si="12"/>
        <v>0</v>
      </c>
      <c r="E126" s="104">
        <f t="shared" si="12"/>
        <v>0</v>
      </c>
      <c r="F126" s="104">
        <f t="shared" si="12"/>
        <v>0</v>
      </c>
      <c r="G126" s="104">
        <f t="shared" si="12"/>
        <v>0</v>
      </c>
      <c r="H126" s="104">
        <f t="shared" si="12"/>
        <v>0</v>
      </c>
      <c r="I126" s="104">
        <f t="shared" si="12"/>
        <v>0</v>
      </c>
      <c r="J126" s="104">
        <f t="shared" si="12"/>
        <v>0</v>
      </c>
      <c r="K126" s="104">
        <f t="shared" si="12"/>
        <v>0</v>
      </c>
      <c r="L126" s="104">
        <f t="shared" si="12"/>
        <v>0</v>
      </c>
      <c r="M126" s="104">
        <f t="shared" si="12"/>
        <v>0</v>
      </c>
      <c r="N126" s="104">
        <f t="shared" si="12"/>
        <v>0</v>
      </c>
      <c r="O126" s="119">
        <f t="shared" si="12"/>
        <v>0</v>
      </c>
    </row>
    <row r="127" spans="1:26">
      <c r="A127" s="210"/>
      <c r="B127" s="102" t="s">
        <v>4</v>
      </c>
      <c r="C127" s="104">
        <f t="shared" ref="C127:O127" si="13">HLOOKUP(C$119,$86:$104,9,FALSE)</f>
        <v>24.205653000000002</v>
      </c>
      <c r="D127" s="104">
        <f t="shared" si="13"/>
        <v>30.786093000000001</v>
      </c>
      <c r="E127" s="104">
        <f t="shared" si="13"/>
        <v>45.328431999999999</v>
      </c>
      <c r="F127" s="104">
        <f t="shared" si="13"/>
        <v>44.651336999999998</v>
      </c>
      <c r="G127" s="104">
        <f t="shared" si="13"/>
        <v>58.329237999999997</v>
      </c>
      <c r="H127" s="104">
        <f t="shared" si="13"/>
        <v>53.302475000000001</v>
      </c>
      <c r="I127" s="104">
        <f t="shared" si="13"/>
        <v>60.169364999999999</v>
      </c>
      <c r="J127" s="104">
        <f t="shared" si="13"/>
        <v>55.465451999999999</v>
      </c>
      <c r="K127" s="104">
        <f t="shared" si="13"/>
        <v>43.998294999999999</v>
      </c>
      <c r="L127" s="104">
        <f t="shared" si="13"/>
        <v>38.814532</v>
      </c>
      <c r="M127" s="104">
        <f t="shared" si="13"/>
        <v>26.937676</v>
      </c>
      <c r="N127" s="104">
        <f t="shared" si="13"/>
        <v>24.958469999999998</v>
      </c>
      <c r="O127" s="119">
        <f t="shared" si="13"/>
        <v>27.699960999999998</v>
      </c>
    </row>
    <row r="128" spans="1:26">
      <c r="A128" s="210"/>
      <c r="B128" s="110" t="s">
        <v>22</v>
      </c>
      <c r="C128" s="104">
        <f t="shared" ref="C128:O128" si="14">HLOOKUP(C$119,$86:$104,10,FALSE)</f>
        <v>0.10423</v>
      </c>
      <c r="D128" s="104">
        <f t="shared" si="14"/>
        <v>3.9530000000000003E-2</v>
      </c>
      <c r="E128" s="104">
        <f t="shared" si="14"/>
        <v>4.0002000000000003E-2</v>
      </c>
      <c r="F128" s="104">
        <f t="shared" si="14"/>
        <v>1.5544000000000001E-2</v>
      </c>
      <c r="G128" s="104">
        <f t="shared" si="14"/>
        <v>4.1384999999999998E-2</v>
      </c>
      <c r="H128" s="104">
        <f t="shared" si="14"/>
        <v>7.8099000000000002E-2</v>
      </c>
      <c r="I128" s="104">
        <f t="shared" si="14"/>
        <v>0.18402499999999999</v>
      </c>
      <c r="J128" s="104">
        <f t="shared" si="14"/>
        <v>0.28992600000000002</v>
      </c>
      <c r="K128" s="104">
        <f t="shared" si="14"/>
        <v>0.364813</v>
      </c>
      <c r="L128" s="104">
        <f t="shared" si="14"/>
        <v>0.34994999999999998</v>
      </c>
      <c r="M128" s="104">
        <f t="shared" si="14"/>
        <v>0.27039800000000003</v>
      </c>
      <c r="N128" s="104">
        <f t="shared" si="14"/>
        <v>0.23000100000000001</v>
      </c>
      <c r="O128" s="119">
        <f t="shared" si="14"/>
        <v>0.256185</v>
      </c>
    </row>
    <row r="129" spans="1:15">
      <c r="A129" s="210"/>
      <c r="B129" s="110" t="s">
        <v>23</v>
      </c>
      <c r="C129" s="104">
        <f t="shared" ref="C129:O129" si="15">HLOOKUP(C$119,$86:$104,11,FALSE)</f>
        <v>3.9370180000000001</v>
      </c>
      <c r="D129" s="104">
        <f t="shared" si="15"/>
        <v>3.7397490000000002</v>
      </c>
      <c r="E129" s="104">
        <f t="shared" si="15"/>
        <v>3.4851179999999999</v>
      </c>
      <c r="F129" s="104">
        <f t="shared" si="15"/>
        <v>1.9095409999999999</v>
      </c>
      <c r="G129" s="104">
        <f t="shared" si="15"/>
        <v>3.5397620000000001</v>
      </c>
      <c r="H129" s="104">
        <f t="shared" si="15"/>
        <v>3.4609559999999999</v>
      </c>
      <c r="I129" s="104">
        <f t="shared" si="15"/>
        <v>3.2774670000000001</v>
      </c>
      <c r="J129" s="104">
        <f t="shared" si="15"/>
        <v>3.1243509999999999</v>
      </c>
      <c r="K129" s="104">
        <f t="shared" si="15"/>
        <v>2.778902</v>
      </c>
      <c r="L129" s="104">
        <f t="shared" si="15"/>
        <v>2.2852030000000001</v>
      </c>
      <c r="M129" s="104">
        <f t="shared" si="15"/>
        <v>1.8790750000000001</v>
      </c>
      <c r="N129" s="104">
        <f t="shared" si="15"/>
        <v>3.2668629999999999</v>
      </c>
      <c r="O129" s="119">
        <f t="shared" si="15"/>
        <v>3.6863090000000001</v>
      </c>
    </row>
    <row r="130" spans="1:15">
      <c r="A130" s="210"/>
      <c r="B130" s="102" t="s">
        <v>47</v>
      </c>
      <c r="C130" s="104">
        <f t="shared" ref="C130:O130" si="16">HLOOKUP(C$119,$86:$104,13,FALSE)</f>
        <v>10.485035</v>
      </c>
      <c r="D130" s="104">
        <f t="shared" si="16"/>
        <v>5.6085469999999997</v>
      </c>
      <c r="E130" s="104">
        <f t="shared" si="16"/>
        <v>12.829401000000001</v>
      </c>
      <c r="F130" s="104">
        <f t="shared" si="16"/>
        <v>11.323399</v>
      </c>
      <c r="G130" s="104">
        <f t="shared" si="16"/>
        <v>12.2750895</v>
      </c>
      <c r="H130" s="104">
        <f t="shared" si="16"/>
        <v>16.584269500000001</v>
      </c>
      <c r="I130" s="104">
        <f t="shared" si="16"/>
        <v>15.726691000000001</v>
      </c>
      <c r="J130" s="104">
        <f t="shared" si="16"/>
        <v>15.578734000000001</v>
      </c>
      <c r="K130" s="104">
        <f t="shared" si="16"/>
        <v>14.1961285</v>
      </c>
      <c r="L130" s="104">
        <f t="shared" si="16"/>
        <v>9.2427220000000005</v>
      </c>
      <c r="M130" s="104">
        <f t="shared" si="16"/>
        <v>9.5122354999999992</v>
      </c>
      <c r="N130" s="104">
        <f t="shared" si="16"/>
        <v>12.261645</v>
      </c>
      <c r="O130" s="119">
        <f t="shared" si="16"/>
        <v>10.134332000000001</v>
      </c>
    </row>
    <row r="131" spans="1:15">
      <c r="A131" s="210"/>
      <c r="B131" s="102" t="s">
        <v>46</v>
      </c>
      <c r="C131" s="104">
        <f t="shared" ref="C131:O131" si="17">HLOOKUP(C$119,$86:$104,12,FALSE)</f>
        <v>10.485035</v>
      </c>
      <c r="D131" s="104">
        <f t="shared" si="17"/>
        <v>5.6085469999999997</v>
      </c>
      <c r="E131" s="104">
        <f t="shared" si="17"/>
        <v>12.829401000000001</v>
      </c>
      <c r="F131" s="104">
        <f t="shared" si="17"/>
        <v>11.323399</v>
      </c>
      <c r="G131" s="104">
        <f t="shared" si="17"/>
        <v>12.2750895</v>
      </c>
      <c r="H131" s="104">
        <f t="shared" si="17"/>
        <v>16.584269500000001</v>
      </c>
      <c r="I131" s="104">
        <f t="shared" si="17"/>
        <v>15.726691000000001</v>
      </c>
      <c r="J131" s="104">
        <f t="shared" si="17"/>
        <v>15.578734000000001</v>
      </c>
      <c r="K131" s="104">
        <f t="shared" si="17"/>
        <v>14.1961285</v>
      </c>
      <c r="L131" s="104">
        <f t="shared" si="17"/>
        <v>9.2427220000000005</v>
      </c>
      <c r="M131" s="104">
        <f t="shared" si="17"/>
        <v>9.5122354999999992</v>
      </c>
      <c r="N131" s="104">
        <f t="shared" si="17"/>
        <v>12.261645</v>
      </c>
      <c r="O131" s="119">
        <f t="shared" si="17"/>
        <v>10.134332000000001</v>
      </c>
    </row>
    <row r="132" spans="1:15">
      <c r="A132" s="210"/>
      <c r="B132" s="111" t="s">
        <v>2</v>
      </c>
      <c r="C132" s="175">
        <f t="shared" ref="C132:O132" si="18">HLOOKUP(C$119,$86:$104,14,FALSE)</f>
        <v>326.57463200000001</v>
      </c>
      <c r="D132" s="175">
        <f t="shared" si="18"/>
        <v>295.353679</v>
      </c>
      <c r="E132" s="175">
        <f t="shared" si="18"/>
        <v>320.70925999999997</v>
      </c>
      <c r="F132" s="175">
        <f t="shared" si="18"/>
        <v>324.59531099999998</v>
      </c>
      <c r="G132" s="175">
        <f t="shared" si="18"/>
        <v>361.88103799999999</v>
      </c>
      <c r="H132" s="175">
        <f t="shared" si="18"/>
        <v>395.72482000000002</v>
      </c>
      <c r="I132" s="175">
        <f t="shared" si="18"/>
        <v>476.83968700000003</v>
      </c>
      <c r="J132" s="175">
        <f t="shared" si="18"/>
        <v>545.50215800000001</v>
      </c>
      <c r="K132" s="175">
        <f t="shared" si="18"/>
        <v>395.380853</v>
      </c>
      <c r="L132" s="175">
        <f t="shared" si="18"/>
        <v>359.82193699999999</v>
      </c>
      <c r="M132" s="175">
        <f t="shared" si="18"/>
        <v>306.726585</v>
      </c>
      <c r="N132" s="175">
        <f t="shared" si="18"/>
        <v>374.31794600000001</v>
      </c>
      <c r="O132" s="176">
        <f t="shared" si="18"/>
        <v>373.71885400000002</v>
      </c>
    </row>
    <row r="133" spans="1:15">
      <c r="A133" s="210"/>
      <c r="B133" s="102" t="s">
        <v>111</v>
      </c>
      <c r="C133" s="104">
        <f>HLOOKUP(C$119,$86:$104,15,FALSE)</f>
        <v>2.9220000000000001E-3</v>
      </c>
      <c r="D133" s="104">
        <f t="shared" ref="D133:O133" si="19">HLOOKUP(D$119,$86:$104,15,FALSE)</f>
        <v>0</v>
      </c>
      <c r="E133" s="104">
        <f t="shared" si="19"/>
        <v>2.3219999999999998E-3</v>
      </c>
      <c r="F133" s="104">
        <f t="shared" si="19"/>
        <v>0</v>
      </c>
      <c r="G133" s="104">
        <f t="shared" si="19"/>
        <v>8.5810000000000001E-3</v>
      </c>
      <c r="H133" s="104">
        <f t="shared" si="19"/>
        <v>1.8225999999999999E-2</v>
      </c>
      <c r="I133" s="104">
        <f t="shared" si="19"/>
        <v>0</v>
      </c>
      <c r="J133" s="104">
        <f t="shared" si="19"/>
        <v>0</v>
      </c>
      <c r="K133" s="104">
        <f t="shared" si="19"/>
        <v>4.75E-4</v>
      </c>
      <c r="L133" s="104">
        <f t="shared" si="19"/>
        <v>5.6973000000000003E-2</v>
      </c>
      <c r="M133" s="104">
        <f t="shared" si="19"/>
        <v>4.3603000000000003E-2</v>
      </c>
      <c r="N133" s="104">
        <f t="shared" si="19"/>
        <v>1.0196999999999999E-2</v>
      </c>
      <c r="O133" s="178">
        <f t="shared" si="19"/>
        <v>5.3210000000000002E-3</v>
      </c>
    </row>
    <row r="134" spans="1:15">
      <c r="A134" s="210"/>
      <c r="B134" s="102" t="s">
        <v>112</v>
      </c>
      <c r="C134" s="104">
        <f>HLOOKUP(C$119,$86:$104,16,FALSE)</f>
        <v>-2.2768E-2</v>
      </c>
      <c r="D134" s="104">
        <f t="shared" ref="D134:O134" si="20">HLOOKUP(D$119,$86:$104,16,FALSE)</f>
        <v>-1.0208999999999999E-2</v>
      </c>
      <c r="E134" s="104">
        <f t="shared" si="20"/>
        <v>-3.2804E-2</v>
      </c>
      <c r="F134" s="104">
        <f t="shared" si="20"/>
        <v>-4.0090000000000004E-3</v>
      </c>
      <c r="G134" s="104">
        <f t="shared" si="20"/>
        <v>-3.6989000000000001E-2</v>
      </c>
      <c r="H134" s="104">
        <f t="shared" si="20"/>
        <v>-6.3725000000000004E-2</v>
      </c>
      <c r="I134" s="104">
        <f t="shared" si="20"/>
        <v>-5.3999999999999998E-5</v>
      </c>
      <c r="J134" s="104">
        <f t="shared" si="20"/>
        <v>-1.776E-3</v>
      </c>
      <c r="K134" s="104">
        <f t="shared" si="20"/>
        <v>-9.0050000000000009E-3</v>
      </c>
      <c r="L134" s="104">
        <f t="shared" si="20"/>
        <v>-0.12790699999999999</v>
      </c>
      <c r="M134" s="104">
        <f t="shared" si="20"/>
        <v>-8.7809999999999999E-2</v>
      </c>
      <c r="N134" s="104">
        <f t="shared" si="20"/>
        <v>-2.4122000000000001E-2</v>
      </c>
      <c r="O134" s="179">
        <f t="shared" si="20"/>
        <v>-2.0024E-2</v>
      </c>
    </row>
    <row r="135" spans="1:15">
      <c r="A135" s="210"/>
      <c r="B135" s="102" t="s">
        <v>21</v>
      </c>
      <c r="C135" s="177">
        <f>HLOOKUP(C$119,$86:$104,17,FALSE)</f>
        <v>122.760274</v>
      </c>
      <c r="D135" s="177">
        <f t="shared" ref="D135:O135" si="21">HLOOKUP(D$119,$86:$104,17,FALSE)</f>
        <v>114.74408200000001</v>
      </c>
      <c r="E135" s="177">
        <f t="shared" si="21"/>
        <v>110.667727</v>
      </c>
      <c r="F135" s="177">
        <f t="shared" si="21"/>
        <v>109.36235000000001</v>
      </c>
      <c r="G135" s="177">
        <f t="shared" si="21"/>
        <v>117.764884</v>
      </c>
      <c r="H135" s="177">
        <f t="shared" si="21"/>
        <v>145.36358899999999</v>
      </c>
      <c r="I135" s="177">
        <f t="shared" si="21"/>
        <v>208.454387</v>
      </c>
      <c r="J135" s="177">
        <f t="shared" si="21"/>
        <v>187.956546</v>
      </c>
      <c r="K135" s="177">
        <f t="shared" si="21"/>
        <v>162.00915900000001</v>
      </c>
      <c r="L135" s="177">
        <f t="shared" si="21"/>
        <v>144.54443599999999</v>
      </c>
      <c r="M135" s="177">
        <f t="shared" si="21"/>
        <v>78.195680999999993</v>
      </c>
      <c r="N135" s="177">
        <f t="shared" si="21"/>
        <v>77.984769</v>
      </c>
      <c r="O135" s="180">
        <f t="shared" si="21"/>
        <v>85.443509000000006</v>
      </c>
    </row>
    <row r="136" spans="1:15">
      <c r="A136" s="210"/>
      <c r="B136" s="112" t="s">
        <v>1</v>
      </c>
      <c r="C136" s="113">
        <f>HLOOKUP(C$119,$86:$104,18,FALSE)</f>
        <v>449.31506000000002</v>
      </c>
      <c r="D136" s="113">
        <f t="shared" ref="D136:O136" si="22">HLOOKUP(D$119,$86:$104,18,FALSE)</f>
        <v>410.08755200000002</v>
      </c>
      <c r="E136" s="113">
        <f t="shared" si="22"/>
        <v>431.34650499999998</v>
      </c>
      <c r="F136" s="113">
        <f t="shared" si="22"/>
        <v>433.95365199999998</v>
      </c>
      <c r="G136" s="113">
        <f t="shared" si="22"/>
        <v>479.61751400000003</v>
      </c>
      <c r="H136" s="113">
        <f t="shared" si="22"/>
        <v>541.04291000000001</v>
      </c>
      <c r="I136" s="113">
        <f t="shared" si="22"/>
        <v>685.29402000000005</v>
      </c>
      <c r="J136" s="113">
        <f t="shared" si="22"/>
        <v>733.45692799999995</v>
      </c>
      <c r="K136" s="113">
        <f t="shared" si="22"/>
        <v>557.38148200000001</v>
      </c>
      <c r="L136" s="113">
        <f t="shared" si="22"/>
        <v>504.29543899999999</v>
      </c>
      <c r="M136" s="113">
        <f t="shared" si="22"/>
        <v>384.87805900000001</v>
      </c>
      <c r="N136" s="113">
        <f t="shared" si="22"/>
        <v>452.28879000000001</v>
      </c>
      <c r="O136" s="181">
        <f t="shared" si="22"/>
        <v>459.14765999999997</v>
      </c>
    </row>
    <row r="137" spans="1:15" ht="14.25">
      <c r="A137" s="211"/>
      <c r="B137" s="120" t="s">
        <v>67</v>
      </c>
      <c r="C137" s="121">
        <f>C122+C123+C125</f>
        <v>31.697628000000002</v>
      </c>
      <c r="D137" s="121">
        <f>D122+D123+D125</f>
        <v>29.804130999999998</v>
      </c>
      <c r="E137" s="121">
        <f t="shared" ref="E137:O137" si="23">E122+E123+E125</f>
        <v>31.512943999999997</v>
      </c>
      <c r="F137" s="121">
        <f t="shared" si="23"/>
        <v>48.767392999999998</v>
      </c>
      <c r="G137" s="121">
        <f t="shared" si="23"/>
        <v>42.36271</v>
      </c>
      <c r="H137" s="121">
        <f t="shared" si="23"/>
        <v>62.186786999999995</v>
      </c>
      <c r="I137" s="121">
        <f t="shared" si="23"/>
        <v>104.34767600000001</v>
      </c>
      <c r="J137" s="121">
        <f t="shared" si="23"/>
        <v>121.139194</v>
      </c>
      <c r="K137" s="121">
        <f t="shared" si="23"/>
        <v>73.729137000000009</v>
      </c>
      <c r="L137" s="121">
        <f t="shared" si="23"/>
        <v>66.240075000000004</v>
      </c>
      <c r="M137" s="121">
        <f t="shared" si="23"/>
        <v>30.259830999999998</v>
      </c>
      <c r="N137" s="121">
        <f t="shared" si="23"/>
        <v>33.727081999999996</v>
      </c>
      <c r="O137" s="121">
        <f t="shared" si="23"/>
        <v>32.413293000000003</v>
      </c>
    </row>
    <row r="138" spans="1:15" ht="13.9" customHeight="1">
      <c r="A138" s="209" t="s">
        <v>69</v>
      </c>
      <c r="B138" s="122" t="s">
        <v>65</v>
      </c>
      <c r="C138" s="108" t="str">
        <f>TEXT(EDATE($A$2,-12),"mmm")&amp;".-"&amp;TEXT(EDATE($A$2,-12),"aa")</f>
        <v>ene.-24</v>
      </c>
      <c r="D138" s="108" t="str">
        <f>TEXT(EDATE($A$2,-11),"mmm")&amp;".-"&amp;TEXT(EDATE($A$2,-11),"aa")</f>
        <v>feb.-24</v>
      </c>
      <c r="E138" s="108" t="str">
        <f>TEXT(EDATE($A$2,-10),"mmm")&amp;".-"&amp;TEXT(EDATE($A$2,-10),"aa")</f>
        <v>mar.-24</v>
      </c>
      <c r="F138" s="108" t="str">
        <f>TEXT(EDATE($A$2,-9),"mmm")&amp;".-"&amp;TEXT(EDATE($A$2,-9),"aa")</f>
        <v>abr.-24</v>
      </c>
      <c r="G138" s="108" t="str">
        <f>TEXT(EDATE($A$2,-8),"mmm")&amp;".-"&amp;TEXT(EDATE($A$2,-8),"aa")</f>
        <v>may.-24</v>
      </c>
      <c r="H138" s="108" t="str">
        <f>TEXT(EDATE($A$2,-7),"mmm")&amp;".-"&amp;TEXT(EDATE($A$2,-7),"aa")</f>
        <v>jun.-24</v>
      </c>
      <c r="I138" s="108" t="str">
        <f>TEXT(EDATE($A$2,-6),"mmm")&amp;".-"&amp;TEXT(EDATE($A$2,-6),"aa")</f>
        <v>jul.-24</v>
      </c>
      <c r="J138" s="108" t="str">
        <f>TEXT(EDATE($A$2,-5),"mmm")&amp;".-"&amp;TEXT(EDATE($A$2,-5),"aa")</f>
        <v>ago.-24</v>
      </c>
      <c r="K138" s="108" t="str">
        <f>TEXT(EDATE($A$2,-4),"mmm")&amp;".-"&amp;TEXT(EDATE($A$2,-4),"aa")</f>
        <v>sep.-24</v>
      </c>
      <c r="L138" s="108" t="str">
        <f>TEXT(EDATE($A$2,-3),"mmm")&amp;".-"&amp;TEXT(EDATE($A$2,-3),"aa")</f>
        <v>oct.-24</v>
      </c>
      <c r="M138" s="108" t="str">
        <f>TEXT(EDATE($A$2,-2),"mmm")&amp;".-"&amp;TEXT(EDATE($A$2,-2),"aa")</f>
        <v>nov.-24</v>
      </c>
      <c r="N138" s="108" t="str">
        <f>TEXT(EDATE($A$2,-1),"mmm")&amp;".-"&amp;TEXT(EDATE($A$2,-1),"aa")</f>
        <v>dic.-24</v>
      </c>
      <c r="O138" s="109" t="str">
        <f>TEXT($A$2,"mmm")&amp;".-"&amp;TEXT($A$2,"aa")</f>
        <v>ene.-25</v>
      </c>
    </row>
    <row r="139" spans="1:15" ht="15" customHeight="1">
      <c r="A139" s="210"/>
      <c r="B139" s="102" t="s">
        <v>12</v>
      </c>
      <c r="C139" s="104">
        <f>HLOOKUP(C$119,$86:$117,19,FALSE)</f>
        <v>0.29624200000000001</v>
      </c>
      <c r="D139" s="104">
        <f t="shared" ref="D139:O139" si="24">HLOOKUP(D$119,$86:$117,19,FALSE)</f>
        <v>0.28508299999999998</v>
      </c>
      <c r="E139" s="104">
        <f t="shared" si="24"/>
        <v>0.272924</v>
      </c>
      <c r="F139" s="104">
        <f t="shared" si="24"/>
        <v>0.258407</v>
      </c>
      <c r="G139" s="104">
        <f t="shared" si="24"/>
        <v>0.28213199999999999</v>
      </c>
      <c r="H139" s="104">
        <f t="shared" si="24"/>
        <v>0.27541500000000002</v>
      </c>
      <c r="I139" s="104">
        <f t="shared" si="24"/>
        <v>0.290603</v>
      </c>
      <c r="J139" s="104">
        <f t="shared" si="24"/>
        <v>0.28181699999999998</v>
      </c>
      <c r="K139" s="104">
        <f t="shared" si="24"/>
        <v>0.27621200000000001</v>
      </c>
      <c r="L139" s="104">
        <f t="shared" si="24"/>
        <v>0.29845300000000002</v>
      </c>
      <c r="M139" s="104">
        <f t="shared" si="24"/>
        <v>0.28431800000000002</v>
      </c>
      <c r="N139" s="104">
        <f t="shared" si="24"/>
        <v>0.28783500000000001</v>
      </c>
      <c r="O139" s="137">
        <f t="shared" si="24"/>
        <v>0.285242</v>
      </c>
    </row>
    <row r="140" spans="1:15" ht="13.9" customHeight="1">
      <c r="A140" s="210"/>
      <c r="B140" s="102" t="s">
        <v>10</v>
      </c>
      <c r="C140" s="104">
        <f>HLOOKUP(C$119,$86:$117,20,FALSE)</f>
        <v>169.88187400000001</v>
      </c>
      <c r="D140" s="104">
        <f t="shared" ref="D140:O140" si="25">HLOOKUP(D$119,$86:$117,20,FALSE)</f>
        <v>150.50368700000001</v>
      </c>
      <c r="E140" s="104">
        <f t="shared" si="25"/>
        <v>159.11780200000001</v>
      </c>
      <c r="F140" s="104">
        <f t="shared" si="25"/>
        <v>147.29312100000001</v>
      </c>
      <c r="G140" s="104">
        <f t="shared" si="25"/>
        <v>146.28192000000001</v>
      </c>
      <c r="H140" s="104">
        <f t="shared" si="25"/>
        <v>150.704353</v>
      </c>
      <c r="I140" s="104">
        <f t="shared" si="25"/>
        <v>160.623885</v>
      </c>
      <c r="J140" s="104">
        <f t="shared" si="25"/>
        <v>152.78751800000001</v>
      </c>
      <c r="K140" s="104">
        <f t="shared" si="25"/>
        <v>158.02361400000001</v>
      </c>
      <c r="L140" s="104">
        <f t="shared" si="25"/>
        <v>161.225874</v>
      </c>
      <c r="M140" s="104">
        <f t="shared" si="25"/>
        <v>162.623898</v>
      </c>
      <c r="N140" s="104">
        <f t="shared" si="25"/>
        <v>158.879446</v>
      </c>
      <c r="O140" s="119">
        <f t="shared" si="25"/>
        <v>164.446281</v>
      </c>
    </row>
    <row r="141" spans="1:15" ht="13.9" customHeight="1">
      <c r="A141" s="210"/>
      <c r="B141" s="102" t="s">
        <v>9</v>
      </c>
      <c r="C141" s="104">
        <f>HLOOKUP(C$119,$86:$117,21,FALSE)</f>
        <v>28.281392</v>
      </c>
      <c r="D141" s="104">
        <f t="shared" ref="D141:O141" si="26">HLOOKUP(D$119,$86:$117,21,FALSE)</f>
        <v>23.554095</v>
      </c>
      <c r="E141" s="104">
        <f t="shared" si="26"/>
        <v>23.025227000000001</v>
      </c>
      <c r="F141" s="104">
        <f t="shared" si="26"/>
        <v>15.266852</v>
      </c>
      <c r="G141" s="104">
        <f t="shared" si="26"/>
        <v>13.422698</v>
      </c>
      <c r="H141" s="104">
        <f t="shared" si="26"/>
        <v>26.814177000000001</v>
      </c>
      <c r="I141" s="104">
        <f t="shared" si="26"/>
        <v>16.554684000000002</v>
      </c>
      <c r="J141" s="104">
        <f t="shared" si="26"/>
        <v>15.849519000000001</v>
      </c>
      <c r="K141" s="104">
        <f t="shared" si="26"/>
        <v>24.502908999999999</v>
      </c>
      <c r="L141" s="104">
        <f t="shared" si="26"/>
        <v>16.364426999999999</v>
      </c>
      <c r="M141" s="104">
        <f t="shared" si="26"/>
        <v>29.713279</v>
      </c>
      <c r="N141" s="104">
        <f t="shared" si="26"/>
        <v>20.429556000000002</v>
      </c>
      <c r="O141" s="119">
        <f t="shared" si="26"/>
        <v>37.045735999999998</v>
      </c>
    </row>
    <row r="142" spans="1:15" ht="13.9" customHeight="1">
      <c r="A142" s="210"/>
      <c r="B142" s="102" t="s">
        <v>8</v>
      </c>
      <c r="C142" s="104">
        <f>HLOOKUP(C$119,$86:$117,22,FALSE)</f>
        <v>121.758736</v>
      </c>
      <c r="D142" s="104">
        <f t="shared" ref="D142:O142" si="27">HLOOKUP(D$119,$86:$117,22,FALSE)</f>
        <v>103.04591600000001</v>
      </c>
      <c r="E142" s="104">
        <f t="shared" si="27"/>
        <v>118.98512599999999</v>
      </c>
      <c r="F142" s="104">
        <f t="shared" si="27"/>
        <v>101.478588</v>
      </c>
      <c r="G142" s="104">
        <f t="shared" si="27"/>
        <v>109.30998200000001</v>
      </c>
      <c r="H142" s="104">
        <f t="shared" si="27"/>
        <v>82.237212</v>
      </c>
      <c r="I142" s="104">
        <f t="shared" si="27"/>
        <v>108.818316</v>
      </c>
      <c r="J142" s="104">
        <f t="shared" si="27"/>
        <v>104.478976</v>
      </c>
      <c r="K142" s="104">
        <f t="shared" si="27"/>
        <v>76.899137999999994</v>
      </c>
      <c r="L142" s="104">
        <f t="shared" si="27"/>
        <v>89.300011999999995</v>
      </c>
      <c r="M142" s="104">
        <f t="shared" si="27"/>
        <v>91.813715999999999</v>
      </c>
      <c r="N142" s="104">
        <f t="shared" si="27"/>
        <v>71.233320000000006</v>
      </c>
      <c r="O142" s="119">
        <f t="shared" si="27"/>
        <v>82.867552000000003</v>
      </c>
    </row>
    <row r="143" spans="1:15" ht="14.65" customHeight="1">
      <c r="A143" s="210"/>
      <c r="B143" s="102" t="s">
        <v>66</v>
      </c>
      <c r="C143" s="104">
        <f>HLOOKUP(C$119,$86:$117,23,FALSE)</f>
        <v>349.62675200000001</v>
      </c>
      <c r="D143" s="104">
        <f t="shared" ref="D143:O143" si="28">HLOOKUP(D$119,$86:$117,23,FALSE)</f>
        <v>283.485344</v>
      </c>
      <c r="E143" s="104">
        <f t="shared" si="28"/>
        <v>307.37834299999997</v>
      </c>
      <c r="F143" s="104">
        <f t="shared" si="28"/>
        <v>316.11086599999999</v>
      </c>
      <c r="G143" s="104">
        <f t="shared" si="28"/>
        <v>261.3288</v>
      </c>
      <c r="H143" s="104">
        <f t="shared" si="28"/>
        <v>271.16905600000001</v>
      </c>
      <c r="I143" s="104">
        <f t="shared" si="28"/>
        <v>265.51519999999999</v>
      </c>
      <c r="J143" s="104">
        <f t="shared" si="28"/>
        <v>260.370474</v>
      </c>
      <c r="K143" s="104">
        <f t="shared" si="28"/>
        <v>296.23593199999999</v>
      </c>
      <c r="L143" s="104">
        <f t="shared" si="28"/>
        <v>354.842107</v>
      </c>
      <c r="M143" s="104">
        <f t="shared" si="28"/>
        <v>391.60655400000002</v>
      </c>
      <c r="N143" s="104">
        <f t="shared" si="28"/>
        <v>377.87321400000002</v>
      </c>
      <c r="O143" s="119">
        <f t="shared" si="28"/>
        <v>342.56568199999998</v>
      </c>
    </row>
    <row r="144" spans="1:15" ht="13.9" customHeight="1">
      <c r="A144" s="210"/>
      <c r="B144" s="102" t="s">
        <v>6</v>
      </c>
      <c r="C144" s="104">
        <f>HLOOKUP(C$119,$86:$117,24,FALSE)</f>
        <v>0.73928799999999995</v>
      </c>
      <c r="D144" s="104">
        <f t="shared" ref="D144:O144" si="29">HLOOKUP(D$119,$86:$117,24,FALSE)</f>
        <v>1.4498660000000001</v>
      </c>
      <c r="E144" s="104">
        <f t="shared" si="29"/>
        <v>1.626099</v>
      </c>
      <c r="F144" s="104">
        <f t="shared" si="29"/>
        <v>1.3224050000000001</v>
      </c>
      <c r="G144" s="104">
        <f t="shared" si="29"/>
        <v>2.25665</v>
      </c>
      <c r="H144" s="104">
        <f t="shared" si="29"/>
        <v>2.6416550000000001</v>
      </c>
      <c r="I144" s="104">
        <f t="shared" si="29"/>
        <v>3.5113099999999999</v>
      </c>
      <c r="J144" s="104">
        <f t="shared" si="29"/>
        <v>3.975784</v>
      </c>
      <c r="K144" s="104">
        <f t="shared" si="29"/>
        <v>2.271474</v>
      </c>
      <c r="L144" s="104">
        <f t="shared" si="29"/>
        <v>1.869634</v>
      </c>
      <c r="M144" s="104">
        <f t="shared" si="29"/>
        <v>0.32408100000000001</v>
      </c>
      <c r="N144" s="104">
        <f t="shared" si="29"/>
        <v>1.363745</v>
      </c>
      <c r="O144" s="119">
        <f t="shared" si="29"/>
        <v>1.249555</v>
      </c>
    </row>
    <row r="145" spans="1:26" ht="13.9" customHeight="1">
      <c r="A145" s="210"/>
      <c r="B145" s="102" t="s">
        <v>5</v>
      </c>
      <c r="C145" s="104">
        <f>HLOOKUP(C$119,$86:$117,25,FALSE)</f>
        <v>53.153264999999998</v>
      </c>
      <c r="D145" s="104">
        <f t="shared" ref="D145:O145" si="30">HLOOKUP(D$119,$86:$117,25,FALSE)</f>
        <v>108.660585</v>
      </c>
      <c r="E145" s="104">
        <f t="shared" si="30"/>
        <v>89.216486000000003</v>
      </c>
      <c r="F145" s="104">
        <f t="shared" si="30"/>
        <v>94.672573</v>
      </c>
      <c r="G145" s="104">
        <f t="shared" si="30"/>
        <v>147.02184</v>
      </c>
      <c r="H145" s="104">
        <f t="shared" si="30"/>
        <v>129.86778200000001</v>
      </c>
      <c r="I145" s="104">
        <f t="shared" si="30"/>
        <v>169.43657200000001</v>
      </c>
      <c r="J145" s="104">
        <f t="shared" si="30"/>
        <v>210.63246799999999</v>
      </c>
      <c r="K145" s="104">
        <f t="shared" si="30"/>
        <v>148.53897900000001</v>
      </c>
      <c r="L145" s="104">
        <f t="shared" si="30"/>
        <v>116.739524</v>
      </c>
      <c r="M145" s="104">
        <f t="shared" si="30"/>
        <v>42.197834</v>
      </c>
      <c r="N145" s="104">
        <f t="shared" si="30"/>
        <v>98.604337999999998</v>
      </c>
      <c r="O145" s="119">
        <f t="shared" si="30"/>
        <v>94.728306000000003</v>
      </c>
    </row>
    <row r="146" spans="1:26" ht="13.9" customHeight="1">
      <c r="A146" s="210"/>
      <c r="B146" s="102" t="s">
        <v>4</v>
      </c>
      <c r="C146" s="104">
        <f>HLOOKUP(C$119,$86:$117,26,FALSE)</f>
        <v>24.766017999999999</v>
      </c>
      <c r="D146" s="104">
        <f t="shared" ref="D146:O146" si="31">HLOOKUP(D$119,$86:$117,26,FALSE)</f>
        <v>26.429468</v>
      </c>
      <c r="E146" s="104">
        <f t="shared" si="31"/>
        <v>32.017468999999998</v>
      </c>
      <c r="F146" s="104">
        <f t="shared" si="31"/>
        <v>36.076476</v>
      </c>
      <c r="G146" s="104">
        <f t="shared" si="31"/>
        <v>35.820442999999997</v>
      </c>
      <c r="H146" s="104">
        <f t="shared" si="31"/>
        <v>36.284447</v>
      </c>
      <c r="I146" s="104">
        <f t="shared" si="31"/>
        <v>42.800131</v>
      </c>
      <c r="J146" s="104">
        <f t="shared" si="31"/>
        <v>40.863112000000001</v>
      </c>
      <c r="K146" s="104">
        <f t="shared" si="31"/>
        <v>37.483722</v>
      </c>
      <c r="L146" s="104">
        <f t="shared" si="31"/>
        <v>36.283222000000002</v>
      </c>
      <c r="M146" s="104">
        <f t="shared" si="31"/>
        <v>28.453948</v>
      </c>
      <c r="N146" s="104">
        <f t="shared" si="31"/>
        <v>27.273921999999999</v>
      </c>
      <c r="O146" s="119">
        <f t="shared" si="31"/>
        <v>32.038106999999997</v>
      </c>
    </row>
    <row r="147" spans="1:26" ht="13.9" customHeight="1">
      <c r="A147" s="210"/>
      <c r="B147" s="102" t="s">
        <v>22</v>
      </c>
      <c r="C147" s="104">
        <f>HLOOKUP(C$119,$86:$117,27,FALSE)</f>
        <v>0.50013399999999997</v>
      </c>
      <c r="D147" s="104">
        <f t="shared" ref="D147:O147" si="32">HLOOKUP(D$119,$86:$117,27,FALSE)</f>
        <v>0.49944300000000003</v>
      </c>
      <c r="E147" s="104">
        <f t="shared" si="32"/>
        <v>0.57839200000000002</v>
      </c>
      <c r="F147" s="104">
        <f t="shared" si="32"/>
        <v>0.26424700000000001</v>
      </c>
      <c r="G147" s="104">
        <f t="shared" si="32"/>
        <v>0.430983</v>
      </c>
      <c r="H147" s="104">
        <f t="shared" si="32"/>
        <v>0.49796200000000002</v>
      </c>
      <c r="I147" s="104">
        <f t="shared" si="32"/>
        <v>0.62341999999999997</v>
      </c>
      <c r="J147" s="104">
        <f t="shared" si="32"/>
        <v>1.3289139999999999</v>
      </c>
      <c r="K147" s="104">
        <f t="shared" si="32"/>
        <v>1.1101749999999999</v>
      </c>
      <c r="L147" s="104">
        <f t="shared" si="32"/>
        <v>1.1028469999999999</v>
      </c>
      <c r="M147" s="104">
        <f t="shared" si="32"/>
        <v>1.1775519999999999</v>
      </c>
      <c r="N147" s="104">
        <f t="shared" si="32"/>
        <v>1.130485</v>
      </c>
      <c r="O147" s="119">
        <f t="shared" si="32"/>
        <v>1.127931</v>
      </c>
    </row>
    <row r="148" spans="1:26" ht="13.9" customHeight="1">
      <c r="A148" s="210"/>
      <c r="B148" s="112" t="s">
        <v>1</v>
      </c>
      <c r="C148" s="113">
        <f>HLOOKUP(C$119,$86:$117,29,FALSE)</f>
        <v>749.00370099999998</v>
      </c>
      <c r="D148" s="113">
        <f t="shared" ref="D148:O148" si="33">HLOOKUP(D$119,$86:$117,29,FALSE)</f>
        <v>697.91348700000003</v>
      </c>
      <c r="E148" s="113">
        <f t="shared" si="33"/>
        <v>732.21786799999995</v>
      </c>
      <c r="F148" s="113">
        <f t="shared" si="33"/>
        <v>712.74353499999995</v>
      </c>
      <c r="G148" s="113">
        <f t="shared" si="33"/>
        <v>716.15544799999998</v>
      </c>
      <c r="H148" s="113">
        <f t="shared" si="33"/>
        <v>700.49205900000004</v>
      </c>
      <c r="I148" s="113">
        <f t="shared" si="33"/>
        <v>768.17412100000001</v>
      </c>
      <c r="J148" s="113">
        <f t="shared" si="33"/>
        <v>790.56858199999999</v>
      </c>
      <c r="K148" s="113">
        <f t="shared" si="33"/>
        <v>745.34215500000005</v>
      </c>
      <c r="L148" s="113">
        <f t="shared" si="33"/>
        <v>778.02610000000004</v>
      </c>
      <c r="M148" s="113">
        <f t="shared" si="33"/>
        <v>748.19518000000005</v>
      </c>
      <c r="N148" s="113">
        <f t="shared" si="33"/>
        <v>757.07586100000003</v>
      </c>
      <c r="O148" s="182">
        <f t="shared" si="33"/>
        <v>756.35439199999996</v>
      </c>
    </row>
    <row r="149" spans="1:26" ht="13.9" customHeight="1">
      <c r="A149" s="210"/>
      <c r="B149" s="114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23"/>
    </row>
    <row r="150" spans="1:26" ht="13.9" customHeight="1">
      <c r="A150" s="211"/>
      <c r="B150" s="120" t="s">
        <v>67</v>
      </c>
      <c r="C150" s="124">
        <f t="shared" ref="C150:O150" si="34">SUM(C140:C142)</f>
        <v>319.92200200000002</v>
      </c>
      <c r="D150" s="124">
        <f t="shared" si="34"/>
        <v>277.10369800000001</v>
      </c>
      <c r="E150" s="124">
        <f t="shared" si="34"/>
        <v>301.12815499999999</v>
      </c>
      <c r="F150" s="124">
        <f t="shared" si="34"/>
        <v>264.03856100000002</v>
      </c>
      <c r="G150" s="124">
        <f t="shared" si="34"/>
        <v>269.01460000000003</v>
      </c>
      <c r="H150" s="124">
        <f t="shared" si="34"/>
        <v>259.755742</v>
      </c>
      <c r="I150" s="124">
        <f t="shared" si="34"/>
        <v>285.99688500000002</v>
      </c>
      <c r="J150" s="124">
        <f t="shared" si="34"/>
        <v>273.11601300000001</v>
      </c>
      <c r="K150" s="124">
        <f t="shared" si="34"/>
        <v>259.42566099999999</v>
      </c>
      <c r="L150" s="124">
        <f t="shared" si="34"/>
        <v>266.89031299999999</v>
      </c>
      <c r="M150" s="124">
        <f t="shared" si="34"/>
        <v>284.150893</v>
      </c>
      <c r="N150" s="124">
        <f t="shared" si="34"/>
        <v>250.54232200000001</v>
      </c>
      <c r="O150" s="125">
        <f t="shared" si="34"/>
        <v>284.35956900000002</v>
      </c>
    </row>
    <row r="151" spans="1:26" ht="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26" ht="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26" ht="15">
      <c r="A153" s="150"/>
      <c r="B153" s="150" t="s">
        <v>60</v>
      </c>
      <c r="C153" s="208" t="s">
        <v>49</v>
      </c>
      <c r="D153" s="204"/>
      <c r="E153" s="204"/>
      <c r="F153" s="204"/>
      <c r="G153" s="204"/>
      <c r="H153" s="204"/>
      <c r="I153" s="204"/>
      <c r="J153" s="204"/>
      <c r="K153" s="204"/>
      <c r="L153" s="204"/>
      <c r="M153" s="204"/>
      <c r="N153" s="204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5">
      <c r="A154" s="150"/>
      <c r="B154" s="150" t="s">
        <v>61</v>
      </c>
      <c r="C154" s="173" t="s">
        <v>81</v>
      </c>
      <c r="D154" s="173" t="s">
        <v>82</v>
      </c>
      <c r="E154" s="173" t="s">
        <v>83</v>
      </c>
      <c r="F154" s="173" t="s">
        <v>84</v>
      </c>
      <c r="G154" s="173" t="s">
        <v>85</v>
      </c>
      <c r="H154" s="173" t="s">
        <v>86</v>
      </c>
      <c r="I154" s="173" t="s">
        <v>87</v>
      </c>
      <c r="J154" s="173" t="s">
        <v>88</v>
      </c>
      <c r="K154" s="173" t="s">
        <v>89</v>
      </c>
      <c r="L154" s="173" t="s">
        <v>90</v>
      </c>
      <c r="M154" s="173" t="s">
        <v>91</v>
      </c>
      <c r="N154" s="173" t="s">
        <v>92</v>
      </c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5">
      <c r="A155" s="150" t="s">
        <v>59</v>
      </c>
      <c r="B155" s="150" t="s">
        <v>93</v>
      </c>
      <c r="C155" s="151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2" t="s">
        <v>108</v>
      </c>
      <c r="B156" s="152" t="s">
        <v>109</v>
      </c>
      <c r="C156" s="168">
        <v>2.188E-2</v>
      </c>
      <c r="D156" s="168">
        <v>1.98E-3</v>
      </c>
      <c r="E156" s="168">
        <v>2.92E-2</v>
      </c>
      <c r="F156" s="168">
        <v>-9.2999999999999992E-3</v>
      </c>
      <c r="G156" s="168">
        <v>2.188E-2</v>
      </c>
      <c r="H156" s="168">
        <v>1.98E-3</v>
      </c>
      <c r="I156" s="168">
        <v>2.92E-2</v>
      </c>
      <c r="J156" s="168">
        <v>-9.2999999999999992E-3</v>
      </c>
      <c r="K156" s="168">
        <v>5.0299999999999997E-3</v>
      </c>
      <c r="L156" s="168">
        <v>-1.8000000000000001E-4</v>
      </c>
      <c r="M156" s="168">
        <v>-5.8100000000000001E-3</v>
      </c>
      <c r="N156" s="168">
        <v>1.102E-2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26" ht="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26" ht="15">
      <c r="A159" s="150"/>
      <c r="B159" s="150" t="s">
        <v>60</v>
      </c>
      <c r="C159" s="208" t="s">
        <v>50</v>
      </c>
      <c r="D159" s="204"/>
      <c r="E159" s="204"/>
      <c r="F159" s="204"/>
      <c r="G159" s="204"/>
      <c r="H159" s="204"/>
      <c r="I159" s="204"/>
      <c r="J159" s="204"/>
      <c r="K159" s="204"/>
      <c r="L159" s="204"/>
      <c r="M159" s="204"/>
      <c r="N159" s="204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5">
      <c r="A160" s="150"/>
      <c r="B160" s="150" t="s">
        <v>61</v>
      </c>
      <c r="C160" s="173" t="s">
        <v>81</v>
      </c>
      <c r="D160" s="173" t="s">
        <v>82</v>
      </c>
      <c r="E160" s="173" t="s">
        <v>83</v>
      </c>
      <c r="F160" s="173" t="s">
        <v>84</v>
      </c>
      <c r="G160" s="173" t="s">
        <v>85</v>
      </c>
      <c r="H160" s="173" t="s">
        <v>86</v>
      </c>
      <c r="I160" s="173" t="s">
        <v>87</v>
      </c>
      <c r="J160" s="173" t="s">
        <v>88</v>
      </c>
      <c r="K160" s="173" t="s">
        <v>89</v>
      </c>
      <c r="L160" s="173" t="s">
        <v>90</v>
      </c>
      <c r="M160" s="173" t="s">
        <v>91</v>
      </c>
      <c r="N160" s="173" t="s">
        <v>92</v>
      </c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5">
      <c r="A161" s="150" t="s">
        <v>59</v>
      </c>
      <c r="B161" s="150" t="s">
        <v>93</v>
      </c>
      <c r="C161" s="151"/>
      <c r="D161" s="151"/>
      <c r="E161" s="151"/>
      <c r="F161" s="151"/>
      <c r="G161" s="151"/>
      <c r="H161" s="151"/>
      <c r="I161" s="151"/>
      <c r="J161" s="151"/>
      <c r="K161" s="151"/>
      <c r="L161" s="151"/>
      <c r="M161" s="151"/>
      <c r="N161" s="15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5">
      <c r="A162" s="152" t="s">
        <v>108</v>
      </c>
      <c r="B162" s="152" t="s">
        <v>109</v>
      </c>
      <c r="C162" s="168">
        <v>9.8099999999999993E-3</v>
      </c>
      <c r="D162" s="168">
        <v>-8.2100000000000003E-3</v>
      </c>
      <c r="E162" s="168">
        <v>4.6000000000000001E-4</v>
      </c>
      <c r="F162" s="168">
        <v>1.7559999999999999E-2</v>
      </c>
      <c r="G162" s="168">
        <v>9.8099999999999993E-3</v>
      </c>
      <c r="H162" s="168">
        <v>-8.2100000000000003E-3</v>
      </c>
      <c r="I162" s="168">
        <v>4.6000000000000001E-4</v>
      </c>
      <c r="J162" s="168">
        <v>1.7559999999999999E-2</v>
      </c>
      <c r="K162" s="168">
        <v>3.3400000000000001E-3</v>
      </c>
      <c r="L162" s="168">
        <v>-1.2E-4</v>
      </c>
      <c r="M162" s="168">
        <v>-3.7599999999999999E-3</v>
      </c>
      <c r="N162" s="168">
        <v>7.2199999999999999E-3</v>
      </c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26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26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26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26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26" ht="15">
      <c r="A168"/>
    </row>
    <row r="169" spans="1:26" ht="15">
      <c r="A169"/>
    </row>
    <row r="170" spans="1:26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26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26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26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26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26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26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</sheetData>
  <mergeCells count="15">
    <mergeCell ref="B29:C29"/>
    <mergeCell ref="C153:N153"/>
    <mergeCell ref="C159:N159"/>
    <mergeCell ref="A138:A150"/>
    <mergeCell ref="A121:A137"/>
    <mergeCell ref="B119:B120"/>
    <mergeCell ref="A88:A103"/>
    <mergeCell ref="B30:C30"/>
    <mergeCell ref="A104:A114"/>
    <mergeCell ref="C85:P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MSTR.Variación_y_componentes_mensual_de_la_demanda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2025-02-14T09:34:33Z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