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ENE\INF_ELABORADA\"/>
    </mc:Choice>
  </mc:AlternateContent>
  <xr:revisionPtr revIDLastSave="0" documentId="8_{999B935F-0866-41DC-B021-9AD40E9989D5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13" r:id="rId6"/>
    <sheet name="SN6" sheetId="5" r:id="rId7"/>
    <sheet name="SN7" sheetId="7" r:id="rId8"/>
    <sheet name="Dat_01" sheetId="18" r:id="rId9"/>
    <sheet name="Mozart Reports" sheetId="19" state="veryHidden" r:id="rId10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3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>Dat_01!$A$153:$N$156</definedName>
    <definedName name="MSTR.Variación_y_componentes_mensual_de_la_demanda.1" xml:space="preserve">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" i="18" l="1"/>
  <c r="C68" i="18" l="1"/>
  <c r="B80" i="18"/>
  <c r="C78" i="18"/>
  <c r="C70" i="18"/>
  <c r="C69" i="18"/>
  <c r="G68" i="18"/>
  <c r="C80" i="18" l="1"/>
  <c r="S27" i="18" l="1"/>
  <c r="R27" i="18"/>
  <c r="D79" i="18"/>
  <c r="D78" i="18"/>
  <c r="D69" i="18"/>
  <c r="D68" i="18"/>
  <c r="G27" i="22" l="1"/>
  <c r="G24" i="22"/>
  <c r="G26" i="22"/>
  <c r="G25" i="22"/>
  <c r="F26" i="22"/>
  <c r="F25" i="22"/>
  <c r="F27" i="22" s="1"/>
  <c r="M29" i="22"/>
  <c r="L29" i="22"/>
  <c r="K29" i="22"/>
  <c r="J29" i="22"/>
  <c r="I29" i="22"/>
  <c r="H29" i="22"/>
  <c r="G29" i="22"/>
  <c r="G28" i="22"/>
  <c r="F29" i="22"/>
  <c r="F28" i="22"/>
  <c r="K9" i="10" l="1"/>
  <c r="J9" i="10"/>
  <c r="I9" i="10"/>
  <c r="H9" i="10"/>
  <c r="G9" i="10"/>
  <c r="F9" i="10"/>
  <c r="K9" i="8"/>
  <c r="J9" i="8"/>
  <c r="I9" i="8"/>
  <c r="H9" i="8"/>
  <c r="G9" i="8"/>
  <c r="F9" i="8"/>
  <c r="C150" i="18"/>
  <c r="D139" i="18"/>
  <c r="E139" i="18"/>
  <c r="F139" i="18"/>
  <c r="G139" i="18"/>
  <c r="H139" i="18"/>
  <c r="I139" i="18"/>
  <c r="J139" i="18"/>
  <c r="K139" i="18"/>
  <c r="L139" i="18"/>
  <c r="M139" i="18"/>
  <c r="N139" i="18"/>
  <c r="O139" i="18"/>
  <c r="D140" i="18"/>
  <c r="E140" i="18"/>
  <c r="F140" i="18"/>
  <c r="G140" i="18"/>
  <c r="H140" i="18"/>
  <c r="I140" i="18"/>
  <c r="J140" i="18"/>
  <c r="K140" i="18"/>
  <c r="L140" i="18"/>
  <c r="M140" i="18"/>
  <c r="N140" i="18"/>
  <c r="O140" i="18"/>
  <c r="D141" i="18"/>
  <c r="E141" i="18"/>
  <c r="F141" i="18"/>
  <c r="G141" i="18"/>
  <c r="H141" i="18"/>
  <c r="I141" i="18"/>
  <c r="J141" i="18"/>
  <c r="K141" i="18"/>
  <c r="L141" i="18"/>
  <c r="M141" i="18"/>
  <c r="N141" i="18"/>
  <c r="O141" i="18"/>
  <c r="D142" i="18"/>
  <c r="E142" i="18"/>
  <c r="F142" i="18"/>
  <c r="G142" i="18"/>
  <c r="H142" i="18"/>
  <c r="I142" i="18"/>
  <c r="J142" i="18"/>
  <c r="K142" i="18"/>
  <c r="L142" i="18"/>
  <c r="M142" i="18"/>
  <c r="N142" i="18"/>
  <c r="O142" i="18"/>
  <c r="D143" i="18"/>
  <c r="E143" i="18"/>
  <c r="F143" i="18"/>
  <c r="G143" i="18"/>
  <c r="H143" i="18"/>
  <c r="I143" i="18"/>
  <c r="J143" i="18"/>
  <c r="K143" i="18"/>
  <c r="L143" i="18"/>
  <c r="M143" i="18"/>
  <c r="N143" i="18"/>
  <c r="O143" i="18"/>
  <c r="D144" i="18"/>
  <c r="E144" i="18"/>
  <c r="F144" i="18"/>
  <c r="G144" i="18"/>
  <c r="H144" i="18"/>
  <c r="I144" i="18"/>
  <c r="J144" i="18"/>
  <c r="K144" i="18"/>
  <c r="L144" i="18"/>
  <c r="M144" i="18"/>
  <c r="N144" i="18"/>
  <c r="O144" i="18"/>
  <c r="D145" i="18"/>
  <c r="E145" i="18"/>
  <c r="F145" i="18"/>
  <c r="G145" i="18"/>
  <c r="H145" i="18"/>
  <c r="I145" i="18"/>
  <c r="J145" i="18"/>
  <c r="K145" i="18"/>
  <c r="L145" i="18"/>
  <c r="M145" i="18"/>
  <c r="N145" i="18"/>
  <c r="O145" i="18"/>
  <c r="D146" i="18"/>
  <c r="E146" i="18"/>
  <c r="F146" i="18"/>
  <c r="G146" i="18"/>
  <c r="H146" i="18"/>
  <c r="I146" i="18"/>
  <c r="J146" i="18"/>
  <c r="K146" i="18"/>
  <c r="L146" i="18"/>
  <c r="M146" i="18"/>
  <c r="N146" i="18"/>
  <c r="O146" i="18"/>
  <c r="D147" i="18"/>
  <c r="E147" i="18"/>
  <c r="F147" i="18"/>
  <c r="G147" i="18"/>
  <c r="H147" i="18"/>
  <c r="I147" i="18"/>
  <c r="J147" i="18"/>
  <c r="K147" i="18"/>
  <c r="L147" i="18"/>
  <c r="M147" i="18"/>
  <c r="N147" i="18"/>
  <c r="O147" i="18"/>
  <c r="D148" i="18"/>
  <c r="E148" i="18"/>
  <c r="F148" i="18"/>
  <c r="G148" i="18"/>
  <c r="H148" i="18"/>
  <c r="I148" i="18"/>
  <c r="J148" i="18"/>
  <c r="K148" i="18"/>
  <c r="L148" i="18"/>
  <c r="M148" i="18"/>
  <c r="N148" i="18"/>
  <c r="O148" i="18"/>
  <c r="C148" i="18"/>
  <c r="C147" i="18"/>
  <c r="C146" i="18"/>
  <c r="C145" i="18"/>
  <c r="C144" i="18"/>
  <c r="C143" i="18"/>
  <c r="C142" i="18"/>
  <c r="C141" i="18"/>
  <c r="C140" i="18"/>
  <c r="C139" i="18"/>
  <c r="D133" i="18"/>
  <c r="E133" i="18"/>
  <c r="F133" i="18"/>
  <c r="G133" i="18"/>
  <c r="H133" i="18"/>
  <c r="I133" i="18"/>
  <c r="J133" i="18"/>
  <c r="K133" i="18"/>
  <c r="L133" i="18"/>
  <c r="M133" i="18"/>
  <c r="N133" i="18"/>
  <c r="O133" i="18"/>
  <c r="D134" i="18"/>
  <c r="E134" i="18"/>
  <c r="F134" i="18"/>
  <c r="G134" i="18"/>
  <c r="H134" i="18"/>
  <c r="I134" i="18"/>
  <c r="J134" i="18"/>
  <c r="K134" i="18"/>
  <c r="L134" i="18"/>
  <c r="M134" i="18"/>
  <c r="N134" i="18"/>
  <c r="O134" i="18"/>
  <c r="D135" i="18"/>
  <c r="E135" i="18"/>
  <c r="F135" i="18"/>
  <c r="G135" i="18"/>
  <c r="H135" i="18"/>
  <c r="I135" i="18"/>
  <c r="J135" i="18"/>
  <c r="K135" i="18"/>
  <c r="L135" i="18"/>
  <c r="M135" i="18"/>
  <c r="N135" i="18"/>
  <c r="O135" i="18"/>
  <c r="D136" i="18"/>
  <c r="E136" i="18"/>
  <c r="F136" i="18"/>
  <c r="G136" i="18"/>
  <c r="H136" i="18"/>
  <c r="I136" i="18"/>
  <c r="J136" i="18"/>
  <c r="K136" i="18"/>
  <c r="L136" i="18"/>
  <c r="M136" i="18"/>
  <c r="N136" i="18"/>
  <c r="O136" i="18"/>
  <c r="C136" i="18"/>
  <c r="C135" i="18"/>
  <c r="C134" i="18"/>
  <c r="C133" i="18"/>
  <c r="C131" i="18"/>
  <c r="C132" i="18"/>
  <c r="C121" i="18"/>
  <c r="G77" i="18"/>
  <c r="G76" i="18"/>
  <c r="G75" i="18"/>
  <c r="G74" i="18"/>
  <c r="G73" i="18"/>
  <c r="G72" i="18"/>
  <c r="G71" i="18"/>
  <c r="G70" i="18"/>
  <c r="G69" i="18"/>
  <c r="B47" i="18"/>
  <c r="C27" i="18" l="1"/>
  <c r="B27" i="18"/>
  <c r="M12" i="22"/>
  <c r="K15" i="22"/>
  <c r="M15" i="22"/>
  <c r="K12" i="22"/>
  <c r="J12" i="22"/>
  <c r="J15" i="22" s="1"/>
  <c r="F11" i="22"/>
  <c r="G13" i="22"/>
  <c r="G22" i="22"/>
  <c r="G11" i="22"/>
  <c r="I11" i="22"/>
  <c r="C47" i="18" l="1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75" i="18" l="1"/>
  <c r="C76" i="18"/>
  <c r="C71" i="18"/>
  <c r="C73" i="18"/>
  <c r="C77" i="18"/>
  <c r="C74" i="18"/>
  <c r="D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O119" i="18" l="1"/>
  <c r="O121" i="18" l="1"/>
  <c r="D27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O150" i="18" l="1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M122" i="18" l="1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L125" i="18" l="1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M3" i="22" s="1"/>
  <c r="G8" i="22" s="1"/>
  <c r="I8" i="22" s="1"/>
  <c r="K8" i="22" s="1"/>
  <c r="M8" i="22" s="1"/>
  <c r="K122" i="18" l="1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I122" i="18" l="1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H125" i="18" l="1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G125" i="18" l="1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F122" i="18" l="1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E122" i="18" l="1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25" i="18" l="1"/>
  <c r="D122" i="18"/>
  <c r="E137" i="18"/>
  <c r="E150" i="18"/>
  <c r="C119" i="18"/>
  <c r="D121" i="18"/>
  <c r="D123" i="18"/>
  <c r="D126" i="18"/>
  <c r="D130" i="18"/>
  <c r="D131" i="18"/>
  <c r="D129" i="18"/>
  <c r="D124" i="18"/>
  <c r="D128" i="18"/>
  <c r="D127" i="18"/>
  <c r="D132" i="18"/>
  <c r="C122" i="18" l="1"/>
  <c r="C124" i="18"/>
  <c r="D137" i="18"/>
  <c r="C125" i="18"/>
  <c r="D150" i="18"/>
  <c r="C127" i="18"/>
  <c r="C123" i="18"/>
  <c r="C129" i="18"/>
  <c r="C128" i="18"/>
  <c r="C126" i="18"/>
  <c r="C130" i="18"/>
</calcChain>
</file>

<file path=xl/sharedStrings.xml><?xml version="1.0" encoding="utf-8"?>
<sst xmlns="http://schemas.openxmlformats.org/spreadsheetml/2006/main" count="443" uniqueCount="131">
  <si>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</si>
  <si>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</si>
  <si>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</si>
  <si>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</si>
  <si>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</si>
  <si>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</si>
  <si>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</si>
  <si>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</si>
  <si>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</si>
  <si>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</si>
  <si>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</si>
  <si>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</si>
  <si>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</si>
  <si>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</si>
  <si>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</si>
  <si>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</si>
  <si>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</si>
  <si>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</si>
  <si>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</si>
  <si>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</si>
  <si>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</si>
  <si>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</si>
  <si>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</si>
  <si>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</si>
  <si>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</si>
  <si>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</si>
  <si>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</si>
  <si>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</si>
  <si>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</si>
  <si>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</si>
  <si>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</si>
  <si>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</si>
  <si>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</si>
  <si>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</si>
  <si>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</si>
  <si>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</si>
  <si>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</si>
  <si>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</si>
  <si>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</si>
  <si>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</si>
  <si>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</si>
  <si>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</si>
  <si>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</si>
  <si>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</si>
  <si>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</si>
  <si>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</si>
  <si>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</si>
  <si>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</si>
  <si>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</si>
  <si>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</si>
  <si>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</si>
  <si>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</si>
  <si>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</si>
  <si>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</si>
  <si>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</si>
  <si>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</si>
  <si>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</si>
  <si>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</si>
  <si>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</si>
  <si>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</si>
  <si>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</si>
  <si>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</si>
  <si>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</si>
  <si>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</si>
  <si>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</si>
  <si>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</si>
  <si>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</si>
  <si>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</si>
  <si>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</si>
  <si>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</si>
  <si>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</si>
  <si>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</si>
  <si>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</si>
  <si>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</si>
  <si>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</si>
  <si>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</si>
  <si>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</si>
  <si>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</si>
  <si>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</si>
  <si>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</si>
  <si>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</si>
  <si>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</si>
  <si>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</si>
  <si>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</si>
  <si>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</si>
  <si>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</si>
  <si>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</si>
  <si>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</si>
  <si>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</si>
  <si>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</si>
  <si>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</si>
  <si>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</si>
  <si>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</si>
  <si>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</si>
  <si>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</si>
  <si>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</si>
  <si>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</si>
  <si>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</si>
  <si>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</si>
  <si>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</si>
  <si>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</si>
  <si>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</si>
  <si>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</si>
  <si>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</si>
  <si>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</si>
  <si>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</si>
  <si>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</si>
  <si>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</si>
  <si>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</si>
  <si>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31/01/2025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</si>
  <si>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15:40:22" si="2.0000000195907813e27575488adade9f60a8ad0c371cb6b3c2174e2f8a601591cfd1635449ad3f929bd0434f0ee633eb6a8bc062e3628f06ad789b95cc1dfda351f86eae0b00d88db0d6d80efead554b850bdf7b937e17e8271a940303542c1c7c7fdbb29960c7812d4dc39131df1544f264c7cd353e7573a5db70d9778d748c8036672dd4909b80ef5eecb6ede8ff144e2e0bb0be9a5cf1b287266f5ae5a2410239.p.3082.0.1.Europe/Madrid.upriv*_1*_pidn2*_3*_session*-lat*_1.00000001fbdbfc2bfb53862e86135186a6ec0f4dbc6025e0611dae05ed86768a85e89cb355c7f93d5ca7f35b1cf1c55bcd893ea601d20e36.00000001e0f77cc2b4c3e26b1fef6fc65b6c06c1bc6025e0fc1bc15f06270e4817f9e40b70f94be97b5e14e5b9fab0fac5bbd3aa004a1b61.0.1.1.BDEbi.D066E1C611E6257C10D00080EF253B44.0-3082.1.1_-0.1.0_-3082.1.1_5.5.0.*0.00000001b15014c0e8511a17ad654676cdb5a65ac911585ab835fc33c53773a018945e8a5b6fa877.0.23.11*.2*.0400*.31152J.e.000000010e626bca9ef0b04851343da73a0eadf1c911585a9b8f8ee3aed4673fc7ccc073157920ff.0.10*.131*.122*.122.0.0" msgID="A7CCF52311EFE957123E0080EF757A38"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</si>
  <si>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Entrega batería</t>
  </si>
  <si>
    <t>Carga batería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</si>
  <si>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15:42:59" si="2.0000000195907813e27575488adade9f60a8ad0c371cb6b3c2174e2f8a601591cfd1635449ad3f929bd0434f0ee633eb6a8bc062e3628f06ad789b95cc1dfda351f86eae0b00d88db0d6d80efead554b850bdf7b937e17e8271a940303542c1c7c7fdbb29960c7812d4dc39131df1544f264c7cd353e7573a5db70d9778d748c8036672dd4909b80ef5eecb6ede8ff144e2e0bb0be9a5cf1b287266f5ae5a2410239.p.3082.0.1.Europe/Madrid.upriv*_1*_pidn2*_3*_session*-lat*_1.00000001fbdbfc2bfb53862e86135186a6ec0f4dbc6025e0611dae05ed86768a85e89cb355c7f93d5ca7f35b1cf1c55bcd893ea601d20e36.00000001e0f77cc2b4c3e26b1fef6fc65b6c06c1bc6025e0fc1bc15f06270e4817f9e40b70f94be97b5e14e5b9fab0fac5bbd3aa004a1b61.0.1.1.BDEbi.D066E1C611E6257C10D00080EF253B44.0-3082.1.1_-0.1.0_-3082.1.1_5.5.0.*0.00000001b15014c0e8511a17ad654676cdb5a65ac911585ab835fc33c53773a018945e8a5b6fa877.0.23.11*.2*.0400*.31152J.e.000000010e626bca9ef0b04851343da73a0eadf1c911585a9b8f8ee3aed4673fc7ccc073157920ff.0.10*.131*.122*.122.0.0" msgID="B65B601A11EFE957123E0080EFD53A37"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nrr="1736" nrc="3264"&gt;&lt;pg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</si>
  <si>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Febrero 2025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</si>
  <si>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ut="02/12/2025 16:19:03" si="2.0000000195907813e27575488adade9f60a8ad0c371cb6b3c2174e2f8a601591cfd1635449ad3f929bd0434f0ee633eb6a8bc062e3628f06ad789b95cc1dfda351f86eae0b00d88db0d6d80efead554b850bdf7b937e17e8271a940303542c1c7c7fdbb29960c7812d4dc39131df1544f264c7cd353e7573a5db70d9778d748c8036672dd4909b80ef5eecb6ede8ff144e2e0bb0be9a5cf1b287266f5ae5a2410239.p.3082.0.1.Europe/Madrid.upriv*_1*_pidn2*_3*_session*-lat*_1.00000001fbdbfc2bfb53862e86135186a6ec0f4dbc6025e0611dae05ed86768a85e89cb355c7f93d5ca7f35b1cf1c55bcd893ea601d20e36.00000001e0f77cc2b4c3e26b1fef6fc65b6c06c1bc6025e0fc1bc15f06270e4817f9e40b70f94be97b5e14e5b9fab0fac5bbd3aa004a1b61.0.1.1.BDEbi.D066E1C611E6257C10D00080EF253B44.0-3082.1.1_-0.1.0_-3082.1.1_5.5.0.*0.00000001b15014c0e8511a17ad654676cdb5a65ac911585ab835fc33c53773a018945e8a5b6fa877.0.23.11*.2*.0400*.31152J.e.000000010e626bca9ef0b04851343da73a0eadf1c911585a9b8f8ee3aed4673fc7ccc073157920ff.0.10*.131*.122*.122.0.0" msgID="A61484DF11EFE95C123E0080EF451A38"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cols="16" /&gt;&lt;esdo ews="" ece="" ptn="" /&gt;&lt;/excel&gt;&lt;pgs&gt;&lt;pg rows="27" cols="14" nrr="2538" nrc="1942"&gt;&lt;pg /&gt;&lt;bls&gt;&lt;bl sr="1" sc="1" rfetch="27" cfetch="14" posid="1" darows="0" dacols="1"&gt;&lt;excel&gt;&lt;epo ews="Dat_01" ece="A85" enr="MSTR.Serie_Balance_B.C._Mensual_Baleares_y_Canarias" ptn="" qtn="" rows="30" cols="16" /&gt;&lt;esdo ews="" ece="" ptn="" /&gt;&lt;/excel&gt;&lt;gridRng&gt;&lt;sect id="TITLE_AREA" rngprop="1:1:3:2" /&gt;&lt;sect id="ROWHEADERS_AREA" rngprop="4:1:27:2" /&gt;&lt;sect id="COLUMNHEADERS_AREA" rngprop="1:3:3:14" /&gt;&lt;sect id="DATA_AREA" rngprop="4:3:27:14"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</si>
  <si>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ut="02/12/2025 16:42:10" si="2.0000000195907813e27575488adade9f60a8ad0c371cb6b3c2174e2f8a601591cfd1635449ad3f929bd0434f0ee633eb6a8bc062e3628f06ad789b95cc1dfda351f86eae0b00d88db0d6d80efead554b850bdf7b937e17e8271a940303542c1c7c7fdbb29960c7812d4dc39131df1544f264c7cd353e7573a5db70d9778d748c8036672dd4909b80ef5eecb6ede8ff144e2e0bb0be9a5cf1b287266f5ae5a2410239.p.3082.0.1.Europe/Madrid.upriv*_1*_pidn2*_3*_session*-lat*_1.00000001fbdbfc2bfb53862e86135186a6ec0f4dbc6025e0611dae05ed86768a85e89cb355c7f93d5ca7f35b1cf1c55bcd893ea601d20e36.00000001e0f77cc2b4c3e26b1fef6fc65b6c06c1bc6025e0fc1bc15f06270e4817f9e40b70f94be97b5e14e5b9fab0fac5bbd3aa004a1b61.0.1.1.BDEbi.D066E1C611E6257C10D00080EF253B44.0-3082.1.1_-0.1.0_-3082.1.1_5.5.0.*0.00000001b15014c0e8511a17ad654676cdb5a65ac911585ab835fc33c53773a018945e8a5b6fa877.0.23.11*.2*.0400*.31152J.e.000000010e626bca9ef0b04851343da73a0eadf1c911585a9b8f8ee3aed4673fc7ccc073157920ff.0.10*.131*.122*.122.0.0" msgID="4659476B11EFE960123E0080EF655936"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rows="1" cols="12" nrr="1" nrc="12"&gt;&lt;pg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</si>
  <si>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e897238f8122498097c5f8fa3b969c00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</si>
  <si>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ut="02/12/2025 16:44:55" si="2.0000000195907813e27575488adade9f60a8ad0c371cb6b3c2174e2f8a601591cfd1635449ad3f929bd0434f0ee633eb6a8bc062e3628f06ad789b95cc1dfda351f86eae0b00d88db0d6d80efead554b850bdf7b937e17e8271a940303542c1c7c7fdbb29960c7812d4dc39131df1544f264c7cd353e7573a5db70d9778d748c8036672dd4909b80ef5eecb6ede8ff144e2e0bb0be9a5cf1b287266f5ae5a2410239.p.3082.0.1.Europe/Madrid.upriv*_1*_pidn2*_3*_session*-lat*_1.00000001fbdbfc2bfb53862e86135186a6ec0f4dbc6025e0611dae05ed86768a85e89cb355c7f93d5ca7f35b1cf1c55bcd893ea601d20e36.00000001e0f77cc2b4c3e26b1fef6fc65b6c06c1bc6025e0fc1bc15f06270e4817f9e40b70f94be97b5e14e5b9fab0fac5bbd3aa004a1b61.0.1.1.BDEbi.D066E1C611E6257C10D00080EF253B44.0-3082.1.1_-0.1.0_-3082.1.1_5.5.0.*0.00000001b15014c0e8511a17ad654676cdb5a65ac911585ab835fc33c53773a018945e8a5b6fa877.0.23.11*.2*.0400*.31152J.e.000000010e626bca9ef0b04851343da73a0eadf1c911585a9b8f8ee3aed4673fc7ccc073157920ff.0.10*.131*.122*.122.0.0" msgID="AA339EF311EFE960123E0080EF95B835"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nrr="2" nrc="24"&gt;&lt;pg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</si>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</sst>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9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0" fillId="0" borderId="18" xfId="0" applyBorder="1" applyAlignment="1">
      <alignment horizontal="lef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4" fontId="45" fillId="0" borderId="0" xfId="34" applyNumberFormat="1" applyFont="1"/>
    <xf numFmtId="166" fontId="7" fillId="0" borderId="0" xfId="4" applyFont="1" applyAlignment="1">
      <alignment vertical="top" wrapText="1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004563"/>
      <color rgb="FF9A5CBC"/>
      <color rgb="FFED7D31"/>
      <color rgb="FFA0A0A0"/>
      <color rgb="FF666666"/>
      <color rgb="FFFFCCFF"/>
      <color rgb="FFFFCC66"/>
      <color rgb="FF00CCFF"/>
      <color rgb="FF8DA69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5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Lbls>
            <c:dLbl>
              <c:idx val="0"/>
              <c:layout>
                <c:manualLayout>
                  <c:x val="0.17235772357723578"/>
                  <c:y val="-7.0000000000000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1.499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8"/>
                  <c:y val="4.4999999999999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4959349593495938"/>
                  <c:y val="9.4999999999999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9918699186991871"/>
                  <c:y val="5.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6504065040650404"/>
                  <c:y val="-4.5000000000000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001280327764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1138211382113822"/>
                  <c:y val="-0.14499999999999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2.6016260162601626E-2"/>
                  <c:y val="-0.17499999999999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0.1040650406504065"/>
                  <c:y val="-0.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1.2394258278443719</c:v>
                </c:pt>
                <c:pt idx="1">
                  <c:v>2.2973122463872264</c:v>
                </c:pt>
                <c:pt idx="2">
                  <c:v>6.3758634987144642</c:v>
                </c:pt>
                <c:pt idx="3">
                  <c:v>76.196978277151629</c:v>
                </c:pt>
                <c:pt idx="5">
                  <c:v>0.98638561061198171</c:v>
                </c:pt>
                <c:pt idx="6">
                  <c:v>2.711752937142422</c:v>
                </c:pt>
                <c:pt idx="7">
                  <c:v>2.711752937142422</c:v>
                </c:pt>
                <c:pt idx="8">
                  <c:v>0</c:v>
                </c:pt>
                <c:pt idx="9">
                  <c:v>7.411978470853386</c:v>
                </c:pt>
                <c:pt idx="10">
                  <c:v>6.8550194152099161E-2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10.781131916895379</c:v>
                </c:pt>
                <c:pt idx="1">
                  <c:v>6.2308863566136656</c:v>
                </c:pt>
                <c:pt idx="2">
                  <c:v>26.957299581590398</c:v>
                </c:pt>
                <c:pt idx="3">
                  <c:v>36.781896577169185</c:v>
                </c:pt>
                <c:pt idx="4">
                  <c:v>0</c:v>
                </c:pt>
                <c:pt idx="5">
                  <c:v>0.51505382702481528</c:v>
                </c:pt>
                <c:pt idx="6">
                  <c:v>1.6717012176280563</c:v>
                </c:pt>
                <c:pt idx="7">
                  <c:v>1.6717012176280563</c:v>
                </c:pt>
                <c:pt idx="8">
                  <c:v>0.15901275619550298</c:v>
                </c:pt>
                <c:pt idx="9">
                  <c:v>15.055564431936405</c:v>
                </c:pt>
                <c:pt idx="10">
                  <c:v>0.17575211731854329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25.151703999999999</c:v>
                </c:pt>
                <c:pt idx="5">
                  <c:v>29.836832000000001</c:v>
                </c:pt>
                <c:pt idx="6">
                  <c:v>3.0622039999999999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4.6319679999999996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31.697628000000002</c:v>
                </c:pt>
                <c:pt idx="1">
                  <c:v>29.804130999999998</c:v>
                </c:pt>
                <c:pt idx="2">
                  <c:v>31.512943999999997</c:v>
                </c:pt>
                <c:pt idx="3">
                  <c:v>48.767392999999998</c:v>
                </c:pt>
                <c:pt idx="4">
                  <c:v>42.36271</c:v>
                </c:pt>
                <c:pt idx="5">
                  <c:v>62.186786999999995</c:v>
                </c:pt>
                <c:pt idx="6">
                  <c:v>104.34767600000001</c:v>
                </c:pt>
                <c:pt idx="7">
                  <c:v>121.139194</c:v>
                </c:pt>
                <c:pt idx="8">
                  <c:v>73.729137000000009</c:v>
                </c:pt>
                <c:pt idx="9">
                  <c:v>66.240075000000004</c:v>
                </c:pt>
                <c:pt idx="10">
                  <c:v>30.259830999999998</c:v>
                </c:pt>
                <c:pt idx="11">
                  <c:v>33.727081999999996</c:v>
                </c:pt>
                <c:pt idx="12">
                  <c:v>32.413293000000003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245.660033</c:v>
                </c:pt>
                <c:pt idx="1">
                  <c:v>219.76708199999999</c:v>
                </c:pt>
                <c:pt idx="2">
                  <c:v>214.68396200000001</c:v>
                </c:pt>
                <c:pt idx="3">
                  <c:v>206.60469800000001</c:v>
                </c:pt>
                <c:pt idx="4">
                  <c:v>207.90606</c:v>
                </c:pt>
                <c:pt idx="5">
                  <c:v>213.69113200000001</c:v>
                </c:pt>
                <c:pt idx="6">
                  <c:v>274.34556800000001</c:v>
                </c:pt>
                <c:pt idx="7">
                  <c:v>334.32576699999998</c:v>
                </c:pt>
                <c:pt idx="8">
                  <c:v>246.11744899999999</c:v>
                </c:pt>
                <c:pt idx="9">
                  <c:v>233.64673300000001</c:v>
                </c:pt>
                <c:pt idx="10">
                  <c:v>228.35513399999999</c:v>
                </c:pt>
                <c:pt idx="11">
                  <c:v>287.61223999999999</c:v>
                </c:pt>
                <c:pt idx="12">
                  <c:v>284.762474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24.205653000000002</c:v>
                </c:pt>
                <c:pt idx="1">
                  <c:v>30.786093000000001</c:v>
                </c:pt>
                <c:pt idx="2">
                  <c:v>45.328431999999999</c:v>
                </c:pt>
                <c:pt idx="3">
                  <c:v>44.651336999999998</c:v>
                </c:pt>
                <c:pt idx="4">
                  <c:v>58.329237999999997</c:v>
                </c:pt>
                <c:pt idx="5">
                  <c:v>53.302475000000001</c:v>
                </c:pt>
                <c:pt idx="6">
                  <c:v>60.169364999999999</c:v>
                </c:pt>
                <c:pt idx="7">
                  <c:v>55.465451999999999</c:v>
                </c:pt>
                <c:pt idx="8">
                  <c:v>43.998294999999999</c:v>
                </c:pt>
                <c:pt idx="9">
                  <c:v>38.814532</c:v>
                </c:pt>
                <c:pt idx="10">
                  <c:v>26.937676</c:v>
                </c:pt>
                <c:pt idx="11">
                  <c:v>24.958469999999998</c:v>
                </c:pt>
                <c:pt idx="12">
                  <c:v>27.699960999999998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0.10423</c:v>
                </c:pt>
                <c:pt idx="1">
                  <c:v>3.9530000000000003E-2</c:v>
                </c:pt>
                <c:pt idx="2">
                  <c:v>4.0002000000000003E-2</c:v>
                </c:pt>
                <c:pt idx="3">
                  <c:v>1.5544000000000001E-2</c:v>
                </c:pt>
                <c:pt idx="4">
                  <c:v>4.1384999999999998E-2</c:v>
                </c:pt>
                <c:pt idx="5">
                  <c:v>7.8099000000000002E-2</c:v>
                </c:pt>
                <c:pt idx="6">
                  <c:v>0.18402499999999999</c:v>
                </c:pt>
                <c:pt idx="7">
                  <c:v>0.28992600000000002</c:v>
                </c:pt>
                <c:pt idx="8">
                  <c:v>0.364813</c:v>
                </c:pt>
                <c:pt idx="9">
                  <c:v>0.34994999999999998</c:v>
                </c:pt>
                <c:pt idx="10">
                  <c:v>0.27039800000000003</c:v>
                </c:pt>
                <c:pt idx="11">
                  <c:v>0.23000100000000001</c:v>
                </c:pt>
                <c:pt idx="12">
                  <c:v>0.256185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3.9370180000000001</c:v>
                </c:pt>
                <c:pt idx="1">
                  <c:v>3.7397490000000002</c:v>
                </c:pt>
                <c:pt idx="2">
                  <c:v>3.4851179999999999</c:v>
                </c:pt>
                <c:pt idx="3">
                  <c:v>1.9095409999999999</c:v>
                </c:pt>
                <c:pt idx="4">
                  <c:v>3.5397620000000001</c:v>
                </c:pt>
                <c:pt idx="5">
                  <c:v>3.4609559999999999</c:v>
                </c:pt>
                <c:pt idx="6">
                  <c:v>3.2774670000000001</c:v>
                </c:pt>
                <c:pt idx="7">
                  <c:v>3.1243509999999999</c:v>
                </c:pt>
                <c:pt idx="8">
                  <c:v>2.778902</c:v>
                </c:pt>
                <c:pt idx="9">
                  <c:v>2.2852030000000001</c:v>
                </c:pt>
                <c:pt idx="10">
                  <c:v>1.8790750000000001</c:v>
                </c:pt>
                <c:pt idx="11">
                  <c:v>3.2668629999999999</c:v>
                </c:pt>
                <c:pt idx="12">
                  <c:v>3.6863090000000001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10.485035</c:v>
                </c:pt>
                <c:pt idx="1">
                  <c:v>5.6085469999999997</c:v>
                </c:pt>
                <c:pt idx="2">
                  <c:v>12.829401000000001</c:v>
                </c:pt>
                <c:pt idx="3">
                  <c:v>11.323399</c:v>
                </c:pt>
                <c:pt idx="4">
                  <c:v>12.2750895</c:v>
                </c:pt>
                <c:pt idx="5">
                  <c:v>16.584269500000001</c:v>
                </c:pt>
                <c:pt idx="6">
                  <c:v>15.726691000000001</c:v>
                </c:pt>
                <c:pt idx="7">
                  <c:v>15.578734000000001</c:v>
                </c:pt>
                <c:pt idx="8">
                  <c:v>14.1961285</c:v>
                </c:pt>
                <c:pt idx="9">
                  <c:v>9.2427220000000005</c:v>
                </c:pt>
                <c:pt idx="10">
                  <c:v>9.5122354999999992</c:v>
                </c:pt>
                <c:pt idx="11">
                  <c:v>12.261645</c:v>
                </c:pt>
                <c:pt idx="12">
                  <c:v>10.134332000000001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10.485035</c:v>
                </c:pt>
                <c:pt idx="1">
                  <c:v>5.6085469999999997</c:v>
                </c:pt>
                <c:pt idx="2">
                  <c:v>12.829401000000001</c:v>
                </c:pt>
                <c:pt idx="3">
                  <c:v>11.323399</c:v>
                </c:pt>
                <c:pt idx="4">
                  <c:v>12.2750895</c:v>
                </c:pt>
                <c:pt idx="5">
                  <c:v>16.584269500000001</c:v>
                </c:pt>
                <c:pt idx="6">
                  <c:v>15.726691000000001</c:v>
                </c:pt>
                <c:pt idx="7">
                  <c:v>15.578734000000001</c:v>
                </c:pt>
                <c:pt idx="8">
                  <c:v>14.1961285</c:v>
                </c:pt>
                <c:pt idx="9">
                  <c:v>9.2427220000000005</c:v>
                </c:pt>
                <c:pt idx="10">
                  <c:v>9.5122354999999992</c:v>
                </c:pt>
                <c:pt idx="11">
                  <c:v>12.261645</c:v>
                </c:pt>
                <c:pt idx="12">
                  <c:v>10.134332000000001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14.520510875964336</c:v>
                </c:pt>
                <c:pt idx="1">
                  <c:v>15.506431052945672</c:v>
                </c:pt>
                <c:pt idx="2">
                  <c:v>14.371625316166488</c:v>
                </c:pt>
                <c:pt idx="3">
                  <c:v>25.769112689811202</c:v>
                </c:pt>
                <c:pt idx="4">
                  <c:v>1.1374856768555444</c:v>
                </c:pt>
                <c:pt idx="5">
                  <c:v>4.5261210178545216E-2</c:v>
                </c:pt>
                <c:pt idx="6">
                  <c:v>0.3370769073823236</c:v>
                </c:pt>
                <c:pt idx="7">
                  <c:v>19.298844032116406</c:v>
                </c:pt>
                <c:pt idx="8">
                  <c:v>8.7514349906635154</c:v>
                </c:pt>
                <c:pt idx="9">
                  <c:v>0.26221724791596651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4.803937007874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25365853658536586"/>
                  <c:y val="1.253319438011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09"/>
                  <c:y val="-0.137254708970202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21.741961538051065</c:v>
                </c:pt>
                <c:pt idx="1">
                  <c:v>4.8979336131097648</c:v>
                </c:pt>
                <c:pt idx="2">
                  <c:v>10.956180446163126</c:v>
                </c:pt>
                <c:pt idx="3">
                  <c:v>45.291689401599982</c:v>
                </c:pt>
                <c:pt idx="4">
                  <c:v>0</c:v>
                </c:pt>
                <c:pt idx="5">
                  <c:v>3.7712744583361928E-2</c:v>
                </c:pt>
                <c:pt idx="6">
                  <c:v>0.16520760812875668</c:v>
                </c:pt>
                <c:pt idx="7">
                  <c:v>12.5243281458991</c:v>
                </c:pt>
                <c:pt idx="8">
                  <c:v>4.2358591870251212</c:v>
                </c:pt>
                <c:pt idx="9">
                  <c:v>0.14912731543971783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0.29624200000000001</c:v>
                </c:pt>
                <c:pt idx="1">
                  <c:v>0.28508299999999998</c:v>
                </c:pt>
                <c:pt idx="2">
                  <c:v>0.272924</c:v>
                </c:pt>
                <c:pt idx="3">
                  <c:v>0.258407</c:v>
                </c:pt>
                <c:pt idx="4">
                  <c:v>0.28213199999999999</c:v>
                </c:pt>
                <c:pt idx="5">
                  <c:v>0.27541500000000002</c:v>
                </c:pt>
                <c:pt idx="6">
                  <c:v>0.290603</c:v>
                </c:pt>
                <c:pt idx="7">
                  <c:v>0.28181699999999998</c:v>
                </c:pt>
                <c:pt idx="8">
                  <c:v>0.27621200000000001</c:v>
                </c:pt>
                <c:pt idx="9">
                  <c:v>0.29845300000000002</c:v>
                </c:pt>
                <c:pt idx="10">
                  <c:v>0.28431800000000002</c:v>
                </c:pt>
                <c:pt idx="11">
                  <c:v>0.28783500000000001</c:v>
                </c:pt>
                <c:pt idx="12">
                  <c:v>0.285242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319.92200200000002</c:v>
                </c:pt>
                <c:pt idx="1">
                  <c:v>277.10369800000001</c:v>
                </c:pt>
                <c:pt idx="2">
                  <c:v>301.12815499999999</c:v>
                </c:pt>
                <c:pt idx="3">
                  <c:v>264.03856100000002</c:v>
                </c:pt>
                <c:pt idx="4">
                  <c:v>269.01460000000003</c:v>
                </c:pt>
                <c:pt idx="5">
                  <c:v>259.755742</c:v>
                </c:pt>
                <c:pt idx="6">
                  <c:v>285.99688500000002</c:v>
                </c:pt>
                <c:pt idx="7">
                  <c:v>273.11601300000001</c:v>
                </c:pt>
                <c:pt idx="8">
                  <c:v>259.42566099999999</c:v>
                </c:pt>
                <c:pt idx="9">
                  <c:v>266.89031299999999</c:v>
                </c:pt>
                <c:pt idx="10">
                  <c:v>284.150893</c:v>
                </c:pt>
                <c:pt idx="11">
                  <c:v>250.54232200000001</c:v>
                </c:pt>
                <c:pt idx="12">
                  <c:v>284.35956900000002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349.62675200000001</c:v>
                </c:pt>
                <c:pt idx="1">
                  <c:v>283.485344</c:v>
                </c:pt>
                <c:pt idx="2">
                  <c:v>307.37834299999997</c:v>
                </c:pt>
                <c:pt idx="3">
                  <c:v>316.11086599999999</c:v>
                </c:pt>
                <c:pt idx="4">
                  <c:v>261.3288</c:v>
                </c:pt>
                <c:pt idx="5">
                  <c:v>271.16905600000001</c:v>
                </c:pt>
                <c:pt idx="6">
                  <c:v>265.51519999999999</c:v>
                </c:pt>
                <c:pt idx="7">
                  <c:v>260.370474</c:v>
                </c:pt>
                <c:pt idx="8">
                  <c:v>296.23593199999999</c:v>
                </c:pt>
                <c:pt idx="9">
                  <c:v>354.842107</c:v>
                </c:pt>
                <c:pt idx="10">
                  <c:v>391.60655400000002</c:v>
                </c:pt>
                <c:pt idx="11">
                  <c:v>377.87321400000002</c:v>
                </c:pt>
                <c:pt idx="12">
                  <c:v>342.56568199999998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0.73928799999999995</c:v>
                </c:pt>
                <c:pt idx="1">
                  <c:v>1.4498660000000001</c:v>
                </c:pt>
                <c:pt idx="2">
                  <c:v>1.626099</c:v>
                </c:pt>
                <c:pt idx="3">
                  <c:v>1.3224050000000001</c:v>
                </c:pt>
                <c:pt idx="4">
                  <c:v>2.25665</c:v>
                </c:pt>
                <c:pt idx="5">
                  <c:v>2.6416550000000001</c:v>
                </c:pt>
                <c:pt idx="6">
                  <c:v>3.5113099999999999</c:v>
                </c:pt>
                <c:pt idx="7">
                  <c:v>3.975784</c:v>
                </c:pt>
                <c:pt idx="8">
                  <c:v>2.271474</c:v>
                </c:pt>
                <c:pt idx="9">
                  <c:v>1.869634</c:v>
                </c:pt>
                <c:pt idx="10">
                  <c:v>0.32408100000000001</c:v>
                </c:pt>
                <c:pt idx="11">
                  <c:v>1.363745</c:v>
                </c:pt>
                <c:pt idx="12">
                  <c:v>1.249555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53.153264999999998</c:v>
                </c:pt>
                <c:pt idx="1">
                  <c:v>108.660585</c:v>
                </c:pt>
                <c:pt idx="2">
                  <c:v>89.216486000000003</c:v>
                </c:pt>
                <c:pt idx="3">
                  <c:v>94.672573</c:v>
                </c:pt>
                <c:pt idx="4">
                  <c:v>147.02184</c:v>
                </c:pt>
                <c:pt idx="5">
                  <c:v>129.86778200000001</c:v>
                </c:pt>
                <c:pt idx="6">
                  <c:v>169.43657200000001</c:v>
                </c:pt>
                <c:pt idx="7">
                  <c:v>210.63246799999999</c:v>
                </c:pt>
                <c:pt idx="8">
                  <c:v>148.53897900000001</c:v>
                </c:pt>
                <c:pt idx="9">
                  <c:v>116.739524</c:v>
                </c:pt>
                <c:pt idx="10">
                  <c:v>42.197834</c:v>
                </c:pt>
                <c:pt idx="11">
                  <c:v>98.604337999999998</c:v>
                </c:pt>
                <c:pt idx="12">
                  <c:v>94.728306000000003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24.766017999999999</c:v>
                </c:pt>
                <c:pt idx="1">
                  <c:v>26.429468</c:v>
                </c:pt>
                <c:pt idx="2">
                  <c:v>32.017468999999998</c:v>
                </c:pt>
                <c:pt idx="3">
                  <c:v>36.076476</c:v>
                </c:pt>
                <c:pt idx="4">
                  <c:v>35.820442999999997</c:v>
                </c:pt>
                <c:pt idx="5">
                  <c:v>36.284447</c:v>
                </c:pt>
                <c:pt idx="6">
                  <c:v>42.800131</c:v>
                </c:pt>
                <c:pt idx="7">
                  <c:v>40.863112000000001</c:v>
                </c:pt>
                <c:pt idx="8">
                  <c:v>37.483722</c:v>
                </c:pt>
                <c:pt idx="9">
                  <c:v>36.283222000000002</c:v>
                </c:pt>
                <c:pt idx="10">
                  <c:v>28.453948</c:v>
                </c:pt>
                <c:pt idx="11">
                  <c:v>27.273921999999999</c:v>
                </c:pt>
                <c:pt idx="12">
                  <c:v>32.038106999999997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ene.-24</c:v>
                </c:pt>
                <c:pt idx="1">
                  <c:v>feb.-24</c:v>
                </c:pt>
                <c:pt idx="2">
                  <c:v>mar.-24</c:v>
                </c:pt>
                <c:pt idx="3">
                  <c:v>abr.-24</c:v>
                </c:pt>
                <c:pt idx="4">
                  <c:v>may.-24</c:v>
                </c:pt>
                <c:pt idx="5">
                  <c:v>jun.-24</c:v>
                </c:pt>
                <c:pt idx="6">
                  <c:v>jul.-24</c:v>
                </c:pt>
                <c:pt idx="7">
                  <c:v>ago.-24</c:v>
                </c:pt>
                <c:pt idx="8">
                  <c:v>sep.-24</c:v>
                </c:pt>
                <c:pt idx="9">
                  <c:v>oct.-24</c:v>
                </c:pt>
                <c:pt idx="10">
                  <c:v>nov.-24</c:v>
                </c:pt>
                <c:pt idx="11">
                  <c:v>dic.-24</c:v>
                </c:pt>
                <c:pt idx="12">
                  <c:v>ene.-25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0.50013399999999997</c:v>
                </c:pt>
                <c:pt idx="1">
                  <c:v>0.49944300000000003</c:v>
                </c:pt>
                <c:pt idx="2">
                  <c:v>0.57839200000000002</c:v>
                </c:pt>
                <c:pt idx="3">
                  <c:v>0.26424700000000001</c:v>
                </c:pt>
                <c:pt idx="4">
                  <c:v>0.430983</c:v>
                </c:pt>
                <c:pt idx="5">
                  <c:v>0.49796200000000002</c:v>
                </c:pt>
                <c:pt idx="6">
                  <c:v>0.62341999999999997</c:v>
                </c:pt>
                <c:pt idx="7">
                  <c:v>1.3289139999999999</c:v>
                </c:pt>
                <c:pt idx="8">
                  <c:v>1.1101749999999999</c:v>
                </c:pt>
                <c:pt idx="9">
                  <c:v>1.1028469999999999</c:v>
                </c:pt>
                <c:pt idx="10">
                  <c:v>1.1775519999999999</c:v>
                </c:pt>
                <c:pt idx="11">
                  <c:v>1.130485</c:v>
                </c:pt>
                <c:pt idx="12">
                  <c:v>1.127931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Enero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Enero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1" t="s">
        <v>40</v>
      </c>
      <c r="E7" s="66"/>
      <c r="F7" s="192" t="str">
        <f>K3</f>
        <v>Enero 2025</v>
      </c>
      <c r="G7" s="193"/>
      <c r="H7" s="193" t="s">
        <v>30</v>
      </c>
      <c r="I7" s="193"/>
      <c r="J7" s="193" t="s">
        <v>31</v>
      </c>
      <c r="K7" s="193"/>
    </row>
    <row r="8" spans="3:12">
      <c r="C8" s="191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459.14765999999997</v>
      </c>
      <c r="G9" s="140">
        <f>Dat_01!T26*100</f>
        <v>2.1883530900000001</v>
      </c>
      <c r="H9" s="72">
        <f>Dat_01!U26/1000</f>
        <v>459.14765999999997</v>
      </c>
      <c r="I9" s="140">
        <f>Dat_01!W26*100</f>
        <v>2.1883530900000001</v>
      </c>
      <c r="J9" s="72">
        <f>Dat_01!X26/1000</f>
        <v>6072.7905110000002</v>
      </c>
      <c r="K9" s="140">
        <f>Dat_01!Y26*100</f>
        <v>0.50252635999999995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0.19800000000000001</v>
      </c>
      <c r="H12" s="91"/>
      <c r="I12" s="91">
        <f>Dat_01!H156*100</f>
        <v>0.19800000000000001</v>
      </c>
      <c r="J12" s="91"/>
      <c r="K12" s="91">
        <f>Dat_01!L156*100</f>
        <v>-1.8000000000000002E-2</v>
      </c>
    </row>
    <row r="13" spans="3:12">
      <c r="E13" s="74" t="s">
        <v>35</v>
      </c>
      <c r="F13" s="73"/>
      <c r="G13" s="91">
        <f>Dat_01!E156*100</f>
        <v>2.92</v>
      </c>
      <c r="H13" s="91"/>
      <c r="I13" s="91">
        <f>Dat_01!I156*100</f>
        <v>2.92</v>
      </c>
      <c r="J13" s="91"/>
      <c r="K13" s="91">
        <f>Dat_01!M156*100</f>
        <v>-0.58099999999999996</v>
      </c>
    </row>
    <row r="14" spans="3:12">
      <c r="E14" s="75" t="s">
        <v>36</v>
      </c>
      <c r="F14" s="76"/>
      <c r="G14" s="92">
        <f>Dat_01!F156*100</f>
        <v>-0.92999999999999994</v>
      </c>
      <c r="H14" s="92"/>
      <c r="I14" s="92">
        <f>Dat_01!J156*100</f>
        <v>-0.92999999999999994</v>
      </c>
      <c r="J14" s="92"/>
      <c r="K14" s="92">
        <f>Dat_01!N156*100</f>
        <v>1.1020000000000001</v>
      </c>
    </row>
    <row r="15" spans="3:12">
      <c r="E15" s="194" t="s">
        <v>37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38</v>
      </c>
      <c r="F16" s="190"/>
      <c r="G16" s="190"/>
      <c r="H16" s="190"/>
      <c r="I16" s="190"/>
      <c r="J16" s="190"/>
      <c r="K16" s="190"/>
    </row>
    <row r="20" spans="7:11">
      <c r="G20" s="153"/>
      <c r="H20" s="153"/>
      <c r="I20" s="153"/>
      <c r="J20" s="153"/>
      <c r="K20" s="153"/>
    </row>
    <row r="21" spans="7:11">
      <c r="G21" s="153"/>
      <c r="H21" s="153"/>
      <c r="I21" s="153"/>
      <c r="J21" s="153"/>
      <c r="K21" s="153"/>
    </row>
    <row r="22" spans="7:11">
      <c r="G22" s="153"/>
      <c r="H22" s="153"/>
      <c r="I22" s="153"/>
      <c r="J22" s="153"/>
      <c r="K22" s="15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Enero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1" t="s">
        <v>41</v>
      </c>
      <c r="E7" s="66"/>
      <c r="F7" s="192" t="str">
        <f>K3</f>
        <v>Enero 2025</v>
      </c>
      <c r="G7" s="193"/>
      <c r="H7" s="193" t="s">
        <v>30</v>
      </c>
      <c r="I7" s="193"/>
      <c r="J7" s="193" t="s">
        <v>31</v>
      </c>
      <c r="K7" s="193"/>
    </row>
    <row r="8" spans="3:12">
      <c r="C8" s="191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756.35439199999996</v>
      </c>
      <c r="G9" s="140">
        <f>Dat_01!AB26*100</f>
        <v>0.98139582000000003</v>
      </c>
      <c r="H9" s="72">
        <f>Dat_01!AC26/1000</f>
        <v>756.35439199999996</v>
      </c>
      <c r="I9" s="140">
        <f>Dat_01!AE26*100</f>
        <v>0.98139582000000003</v>
      </c>
      <c r="J9" s="72">
        <f>Dat_01!AF26/1000</f>
        <v>8903.258788000001</v>
      </c>
      <c r="K9" s="140">
        <f>Dat_01!AG26*100</f>
        <v>0.33361574999999999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-0.82100000000000006</v>
      </c>
      <c r="H12" s="91"/>
      <c r="I12" s="91">
        <f>Dat_01!H162*100</f>
        <v>-0.82100000000000006</v>
      </c>
      <c r="J12" s="91"/>
      <c r="K12" s="91">
        <f>Dat_01!L162*100</f>
        <v>-1.2E-2</v>
      </c>
    </row>
    <row r="13" spans="3:12">
      <c r="E13" s="74" t="s">
        <v>35</v>
      </c>
      <c r="F13" s="73"/>
      <c r="G13" s="91">
        <f>Dat_01!E162*100</f>
        <v>4.5999999999999999E-2</v>
      </c>
      <c r="H13" s="91"/>
      <c r="I13" s="91">
        <f>Dat_01!I162*100</f>
        <v>4.5999999999999999E-2</v>
      </c>
      <c r="J13" s="91"/>
      <c r="K13" s="91">
        <f>Dat_01!M162*100</f>
        <v>-0.376</v>
      </c>
    </row>
    <row r="14" spans="3:12">
      <c r="E14" s="75" t="s">
        <v>36</v>
      </c>
      <c r="F14" s="76"/>
      <c r="G14" s="92">
        <f>Dat_01!F162*100</f>
        <v>1.756</v>
      </c>
      <c r="H14" s="92"/>
      <c r="I14" s="92">
        <f>Dat_01!J162*100</f>
        <v>1.756</v>
      </c>
      <c r="J14" s="92"/>
      <c r="K14" s="92">
        <f>Dat_01!N162*100</f>
        <v>0.72199999999999998</v>
      </c>
    </row>
    <row r="15" spans="3:12">
      <c r="E15" s="194" t="s">
        <v>37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38</v>
      </c>
      <c r="F16" s="190"/>
      <c r="G16" s="190"/>
      <c r="H16" s="190"/>
      <c r="I16" s="190"/>
      <c r="J16" s="190"/>
      <c r="K16" s="190"/>
    </row>
    <row r="19" spans="7:11">
      <c r="G19" s="153"/>
      <c r="H19" s="153"/>
      <c r="I19" s="153"/>
      <c r="J19" s="153"/>
      <c r="K19" s="153"/>
    </row>
    <row r="20" spans="7:11">
      <c r="G20" s="153"/>
      <c r="H20" s="153"/>
      <c r="I20" s="153"/>
      <c r="J20" s="153"/>
      <c r="K20" s="153"/>
    </row>
    <row r="21" spans="7:11">
      <c r="G21" s="153"/>
      <c r="H21" s="153"/>
      <c r="I21" s="153"/>
      <c r="J21" s="153"/>
      <c r="K21" s="15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Enero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195" t="s">
        <v>18</v>
      </c>
      <c r="E7" s="24"/>
      <c r="F7" s="196" t="s">
        <v>17</v>
      </c>
      <c r="G7" s="197"/>
      <c r="H7" s="196" t="s">
        <v>16</v>
      </c>
      <c r="I7" s="197"/>
      <c r="J7" s="196" t="s">
        <v>15</v>
      </c>
      <c r="K7" s="197"/>
      <c r="L7" s="196" t="s">
        <v>14</v>
      </c>
      <c r="M7" s="197"/>
    </row>
    <row r="8" spans="3:23" s="21" customFormat="1" ht="12.75" customHeight="1">
      <c r="C8" s="195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0.285242</v>
      </c>
      <c r="I9" s="12">
        <f>IF(Dat_01!AB8*100=-100,"-",Dat_01!AB8*100)</f>
        <v>-3.7131804400000004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1.249555</v>
      </c>
      <c r="I10" s="12">
        <f>Dat_01!AB15*100</f>
        <v>69.021409789999993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94.728306000000003</v>
      </c>
      <c r="I11" s="12">
        <f>Dat_01!AB16*100</f>
        <v>78.217285430000004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27.699960999999998</v>
      </c>
      <c r="G12" s="12">
        <f>Dat_01!T17*100</f>
        <v>14.435917100000001</v>
      </c>
      <c r="H12" s="132">
        <f>Dat_01!Z17/1000</f>
        <v>32.038106999999997</v>
      </c>
      <c r="I12" s="12">
        <f>Dat_01!AB17*100</f>
        <v>29.363174170000001</v>
      </c>
      <c r="J12" s="132">
        <f>Dat_01!B17</f>
        <v>0</v>
      </c>
      <c r="K12" s="12">
        <f>IF(Dat_01!D17=-100%,"-",Dat_01!D17*100)</f>
        <v>0</v>
      </c>
      <c r="L12" s="132">
        <f>Dat_01!J17/1000</f>
        <v>3.48E-3</v>
      </c>
      <c r="M12" s="12">
        <f>IF(Dat_01!L17*100=-100,"-",Dat_01!L17*100)</f>
        <v>-0.34364260999999996</v>
      </c>
      <c r="N12" s="7"/>
      <c r="O12" s="7"/>
      <c r="P12" s="14"/>
    </row>
    <row r="13" spans="3:23" ht="12.75" customHeight="1">
      <c r="C13" s="10"/>
      <c r="E13" s="13" t="s">
        <v>74</v>
      </c>
      <c r="F13" s="12">
        <f>Dat_01!R18/1000</f>
        <v>0.256185</v>
      </c>
      <c r="G13" s="12">
        <f>IF(Dat_01!T18=-100%,"-",Dat_01!T18*100)</f>
        <v>145.78816080000001</v>
      </c>
      <c r="H13" s="132">
        <f>Dat_01!Z18/1000</f>
        <v>1.127931</v>
      </c>
      <c r="I13" s="12">
        <f>IF(Dat_01!AB18*100=-100,"-",Dat_01!AB18*100)</f>
        <v>125.52575909999999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10.134332000000001</v>
      </c>
      <c r="G14" s="12">
        <f>Dat_01!T21*100</f>
        <v>-3.3447957000000001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0.59325499999999998</v>
      </c>
      <c r="M14" s="12">
        <f>Dat_01!L21*100</f>
        <v>-5.0962826699999999</v>
      </c>
      <c r="N14" s="7"/>
      <c r="O14" s="7"/>
    </row>
    <row r="15" spans="3:23" ht="12.75" customHeight="1">
      <c r="C15" s="10"/>
      <c r="E15" s="145" t="s">
        <v>72</v>
      </c>
      <c r="F15" s="148">
        <f>SUM(F9:F14)</f>
        <v>38.090477999999997</v>
      </c>
      <c r="G15" s="149">
        <f>((SUM(Dat_01!R8,Dat_01!R15:R18,Dat_01!R20)/SUM(Dat_01!S8,Dat_01!S15:S18,Dat_01!S20))-1)*100</f>
        <v>9.4713831485391253</v>
      </c>
      <c r="H15" s="148">
        <f>SUM(H9:H14)</f>
        <v>129.42914099999999</v>
      </c>
      <c r="I15" s="149">
        <f>((SUM(Dat_01!Z8,Dat_01!Z15:Z18,Dat_01!Z20)/SUM(Dat_01!AA8,Dat_01!AA15:AA18,Dat_01!AA20))-1)*100</f>
        <v>62.89626497391032</v>
      </c>
      <c r="J15" s="148">
        <f>SUM(J9:J14)</f>
        <v>0</v>
      </c>
      <c r="K15" s="149" t="str">
        <f>IF(((SUM(Dat_01!B8,Dat_01!B15:B18,Dat_01!B20)/SUM(Dat_01!C8,Dat_01!C5:IC18,Dat_01!C20))-1)*100=-100,"-",((SUM(Dat_01!B8,Dat_01!B15:B18,Dat_01!B20)/SUM(Dat_01!C8,Dat_01!C5:IC18,Dat_01!C20))-1)*100)</f>
        <v>-</v>
      </c>
      <c r="L15" s="148">
        <f>SUM(L9:L14)</f>
        <v>0.59673500000000002</v>
      </c>
      <c r="M15" s="149">
        <f>((SUM(Dat_01!J8,Dat_01!J15:J18,Dat_01!J20)/SUM(Dat_01!K8,Dat_01!K15:K18,Dat_01!K20))-1)*100</f>
        <v>-5.0698809823983009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4.6319679999999996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8.585488999999999</v>
      </c>
      <c r="G17" s="18">
        <f>((SUM(Dat_01!R10,Dat_01!R14)/SUM(Dat_01!S10,Dat_01!S14))-1)*100</f>
        <v>38.521631619274842</v>
      </c>
      <c r="H17" s="133">
        <f>SUM(Dat_01!Z10,Dat_01!Z14)/1000</f>
        <v>164.446281</v>
      </c>
      <c r="I17" s="18">
        <f>((SUM(Dat_01!Z10,Dat_01!Z14)/SUM(Dat_01!AA10,Dat_01!AA14))-1)*100</f>
        <v>-3.1996309388487298</v>
      </c>
      <c r="J17" s="133">
        <f>Dat_01!B10/1000</f>
        <v>17.089555000000001</v>
      </c>
      <c r="K17" s="18">
        <f>Dat_01!D10*100</f>
        <v>7.1775185000000006</v>
      </c>
      <c r="L17" s="133">
        <f>Dat_01!J10/1000</f>
        <v>17.414429999999999</v>
      </c>
      <c r="M17" s="18">
        <f>Dat_01!L10*100</f>
        <v>13.869244010000001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23.827804</v>
      </c>
      <c r="G18" s="18">
        <f>Dat_01!T11*100</f>
        <v>-6.5564843999999995</v>
      </c>
      <c r="H18" s="133">
        <f>Dat_01!Z11/1000</f>
        <v>37.045735999999998</v>
      </c>
      <c r="I18" s="18">
        <f>Dat_01!AB11*100</f>
        <v>30.989790039999999</v>
      </c>
      <c r="J18" s="133">
        <f>Dat_01!B11/1000</f>
        <v>3.4870000000000001E-3</v>
      </c>
      <c r="K18" s="18">
        <f>IF(Dat_01!D11=-100%,"-",Dat_01!D11*100)</f>
        <v>-4.70073791</v>
      </c>
      <c r="L18" s="133">
        <f>Dat_01!J11/1000</f>
        <v>1.403E-3</v>
      </c>
      <c r="M18" s="18">
        <f>IF(Dat_01!L11*100=-100,"-",Dat_01!L11*100)</f>
        <v>-42.687908499999999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82.867551999999989</v>
      </c>
      <c r="I19" s="18">
        <f>Dat_01!AB12*100</f>
        <v>-31.94118572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32.413292999999996</v>
      </c>
      <c r="G20" s="12">
        <f>((SUM(Dat_01!R10:R12,Dat_01!R14)/SUM(Dat_01!S10:S12,Dat_01!S14))-1)*100</f>
        <v>2.257787238843223</v>
      </c>
      <c r="H20" s="132">
        <f>SUM(H17:H19)</f>
        <v>284.35956899999996</v>
      </c>
      <c r="I20" s="12">
        <f>(H20/(H17/(I17/100+1)+H18/(I18/100+1)+H19/(I19/100+1))-1)*100</f>
        <v>-11.115969758803701</v>
      </c>
      <c r="J20" s="132">
        <f>SUM(J17:J19)</f>
        <v>17.093042000000001</v>
      </c>
      <c r="K20" s="12">
        <f>((SUM(Dat_01!B10:B12)/SUM(Dat_01!C10:C12))-1)*100</f>
        <v>7.1747933631421512</v>
      </c>
      <c r="L20" s="132">
        <f>SUM(L17:L19)</f>
        <v>17.415832999999999</v>
      </c>
      <c r="M20" s="12">
        <f>((SUM(Dat_01!J10:J12)/SUM(Dat_01!K10:K12))-1)*100</f>
        <v>13.860192386082314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75</v>
      </c>
      <c r="F21" s="132">
        <f>Dat_01!R13/1000</f>
        <v>284.762474</v>
      </c>
      <c r="G21" s="12">
        <f>Dat_01!T13*100</f>
        <v>15.917298599999999</v>
      </c>
      <c r="H21" s="132">
        <f>Dat_01!Z13/1000</f>
        <v>342.56568199999998</v>
      </c>
      <c r="I21" s="12">
        <f>Dat_01!AB13*100</f>
        <v>-2.0196023200000002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3.6863090000000001</v>
      </c>
      <c r="G22" s="12">
        <f>Dat_01!T19*100</f>
        <v>-6.3679922200000005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10.134332000000001</v>
      </c>
      <c r="G23" s="12">
        <f>Dat_01!T20*100</f>
        <v>-3.3447957000000001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0.59325499999999998</v>
      </c>
      <c r="M23" s="12">
        <f>Dat_01!L20*100</f>
        <v>-5.0962826699999999</v>
      </c>
      <c r="N23" s="7"/>
      <c r="O23" s="7"/>
    </row>
    <row r="24" spans="3:23" ht="12.75" customHeight="1">
      <c r="C24" s="10"/>
      <c r="E24" s="145" t="s">
        <v>73</v>
      </c>
      <c r="F24" s="134">
        <f>SUM(F16,F20:F23)</f>
        <v>335.628376</v>
      </c>
      <c r="G24" s="149">
        <f>((SUM(Dat_01!R9:R14,Dat_01!R19,Dat_01!R21)/SUM(Dat_01!S9:S14,Dat_01!S19,Dat_01!S21))-1)*100</f>
        <v>15.02800225515335</v>
      </c>
      <c r="H24" s="134">
        <f>SUM(H16,H20:H23)</f>
        <v>626.92525099999989</v>
      </c>
      <c r="I24" s="149">
        <f>((SUM(Dat_01!Z9:Z14,Dat_01!Z19,Dat_01!Z21)/SUM(Dat_01!AA9:AA14,Dat_01!AA19,Dat_01!AA21))-1)*100</f>
        <v>-6.3660043791224812</v>
      </c>
      <c r="J24" s="134">
        <f>SUM(J16,J20:J23)</f>
        <v>17.093042000000001</v>
      </c>
      <c r="K24" s="149">
        <f>((SUM(Dat_01!B9:B14,Dat_01!B19,Dat_01!B21)/SUM(Dat_01!C9:C14,Dat_01!C19,Dat_01!C21))-1)*100</f>
        <v>7.1747933631421512</v>
      </c>
      <c r="L24" s="134">
        <f>SUM(L16,L20:L23)</f>
        <v>18.009087999999998</v>
      </c>
      <c r="M24" s="149">
        <f>((SUM(Dat_01!J9:J14,Dat_01!J19,Dat_01!J21)/SUM(Dat_01!K9:K14,Dat_01!K19,Dat_01!K21))-1)*100</f>
        <v>13.115892975389132</v>
      </c>
      <c r="N24" s="7"/>
      <c r="O24" s="7"/>
    </row>
    <row r="25" spans="3:23" ht="12.75" customHeight="1">
      <c r="C25" s="10"/>
      <c r="E25" s="186" t="s">
        <v>111</v>
      </c>
      <c r="F25" s="132">
        <f>Dat_01!R23/1000</f>
        <v>5.3209999999999993E-3</v>
      </c>
      <c r="G25" s="12">
        <f>Dat_01!T23*100</f>
        <v>82.101300479999992</v>
      </c>
      <c r="H25" s="187" t="s">
        <v>3</v>
      </c>
      <c r="I25" s="187" t="s">
        <v>3</v>
      </c>
      <c r="J25" s="187" t="s">
        <v>3</v>
      </c>
      <c r="K25" s="187" t="s">
        <v>3</v>
      </c>
      <c r="L25" s="187" t="s">
        <v>3</v>
      </c>
      <c r="M25" s="187" t="s">
        <v>3</v>
      </c>
      <c r="N25" s="7"/>
      <c r="O25" s="7"/>
    </row>
    <row r="26" spans="3:23" ht="12.75" customHeight="1">
      <c r="C26" s="10"/>
      <c r="E26" s="186" t="s">
        <v>112</v>
      </c>
      <c r="F26" s="132">
        <f>Dat_01!R24/1000</f>
        <v>-2.0024E-2</v>
      </c>
      <c r="G26" s="12">
        <f>Dat_01!T24*100</f>
        <v>-12.052002809999999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5" t="s">
        <v>119</v>
      </c>
      <c r="F27" s="134">
        <f>SUM(F25:F26)</f>
        <v>-1.4703000000000001E-2</v>
      </c>
      <c r="G27" s="149">
        <f>((SUM(Dat_01!R23:R24)/SUM(Dat_01!S23:S24))-1)*100</f>
        <v>-25.914541973193582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83" t="s">
        <v>78</v>
      </c>
      <c r="F28" s="184">
        <f>Dat_01!R25/1000</f>
        <v>85.443509000000006</v>
      </c>
      <c r="G28" s="185">
        <f>Dat_01!T25*100</f>
        <v>-30.398078940000001</v>
      </c>
      <c r="H28" s="184" t="s">
        <v>3</v>
      </c>
      <c r="I28" s="184" t="s">
        <v>3</v>
      </c>
      <c r="J28" s="184" t="s">
        <v>3</v>
      </c>
      <c r="K28" s="184" t="s">
        <v>3</v>
      </c>
      <c r="L28" s="184" t="s">
        <v>3</v>
      </c>
      <c r="M28" s="184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459.14765999999997</v>
      </c>
      <c r="G29" s="8">
        <f>Dat_01!T26*100</f>
        <v>2.1883530900000001</v>
      </c>
      <c r="H29" s="135">
        <f>Dat_01!Z26/1000</f>
        <v>756.35439199999996</v>
      </c>
      <c r="I29" s="8">
        <f>Dat_01!AB26*100</f>
        <v>0.98139582000000003</v>
      </c>
      <c r="J29" s="135">
        <f>Dat_01!B26/1000</f>
        <v>17.093042000000001</v>
      </c>
      <c r="K29" s="8">
        <f>Dat_01!D26*100</f>
        <v>7.1747933599999998</v>
      </c>
      <c r="L29" s="135">
        <f>Dat_01!J26/1000</f>
        <v>18.605823000000001</v>
      </c>
      <c r="M29" s="8">
        <f>Dat_01!L26*100</f>
        <v>12.42513832</v>
      </c>
      <c r="N29" s="7"/>
      <c r="O29" s="7"/>
    </row>
    <row r="30" spans="3:23" ht="16.350000000000001" customHeight="1">
      <c r="C30" s="10"/>
      <c r="E30" s="200" t="s">
        <v>48</v>
      </c>
      <c r="F30" s="200"/>
      <c r="G30" s="200"/>
      <c r="H30" s="200"/>
      <c r="I30" s="200"/>
      <c r="J30" s="200"/>
      <c r="K30" s="200"/>
      <c r="L30" s="146"/>
      <c r="M30" s="147"/>
      <c r="N30" s="7"/>
      <c r="O30" s="7"/>
    </row>
    <row r="31" spans="3:23" ht="12.75" customHeight="1">
      <c r="C31" s="3"/>
      <c r="D31" s="3"/>
      <c r="E31" s="199" t="s">
        <v>0</v>
      </c>
      <c r="F31" s="199"/>
      <c r="G31" s="199"/>
      <c r="H31" s="199"/>
      <c r="I31" s="199"/>
      <c r="J31" s="199"/>
      <c r="K31" s="199"/>
      <c r="L31" s="199"/>
      <c r="M31" s="199"/>
      <c r="O31" s="6"/>
    </row>
    <row r="32" spans="3:23" ht="12.75" customHeight="1">
      <c r="E32" s="198" t="s">
        <v>130</v>
      </c>
      <c r="F32" s="198"/>
      <c r="G32" s="198"/>
      <c r="H32" s="198"/>
      <c r="I32" s="198"/>
      <c r="J32" s="198"/>
      <c r="K32" s="198"/>
      <c r="L32" s="198"/>
      <c r="M32" s="198"/>
    </row>
    <row r="33" spans="3:13" ht="12.75" customHeight="1">
      <c r="C33" s="3"/>
      <c r="D33" s="3"/>
      <c r="E33" s="198" t="s">
        <v>76</v>
      </c>
      <c r="F33" s="198"/>
      <c r="G33" s="198"/>
      <c r="H33" s="198"/>
      <c r="I33" s="198"/>
      <c r="J33" s="198"/>
      <c r="K33" s="198"/>
      <c r="L33" s="198"/>
      <c r="M33" s="198"/>
    </row>
    <row r="34" spans="3:13" ht="12.75" customHeight="1">
      <c r="E34" s="198" t="s">
        <v>77</v>
      </c>
      <c r="F34" s="198"/>
      <c r="G34" s="198"/>
      <c r="H34" s="198"/>
      <c r="I34" s="198"/>
      <c r="J34" s="198"/>
      <c r="K34" s="198"/>
      <c r="L34" s="198"/>
      <c r="M34" s="198"/>
    </row>
    <row r="35" spans="3:13" ht="12.75" customHeight="1">
      <c r="E35" s="198"/>
      <c r="F35" s="198"/>
      <c r="G35" s="198"/>
      <c r="H35" s="198"/>
      <c r="I35" s="198"/>
      <c r="J35" s="198"/>
      <c r="K35" s="198"/>
      <c r="L35" s="198"/>
      <c r="M35" s="198"/>
    </row>
    <row r="36" spans="3:13" ht="12.75" customHeight="1">
      <c r="E36" s="5"/>
      <c r="F36" s="5"/>
      <c r="G36" s="5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 K15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4" zoomScaleNormal="100" workbookViewId="0">
      <selection activeCell="G41" sqref="G41"/>
    </sheetView>
  </sheetViews>
  <sheetFormatPr baseColWidth="10" defaultRowHeight="12.75"/>
  <cols>
    <col min="1" max="1" width="0.28515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7109375" style="29" customWidth="1"/>
    <col min="6" max="6" width="11.42578125" style="28"/>
    <col min="7" max="7" width="19.7109375" style="28" customWidth="1"/>
    <col min="8" max="9" width="11.42578125" style="28"/>
    <col min="10" max="10" width="11" style="28" bestFit="1" customWidth="1"/>
    <col min="11" max="253" width="11.42578125" style="28"/>
    <col min="254" max="254" width="0.28515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7109375" style="28" customWidth="1"/>
    <col min="259" max="260" width="11.42578125" style="28"/>
    <col min="261" max="261" width="2.28515625" style="28" customWidth="1"/>
    <col min="262" max="262" width="11.42578125" style="28"/>
    <col min="263" max="263" width="9.5703125" style="28" customWidth="1"/>
    <col min="264" max="509" width="11.42578125" style="28"/>
    <col min="510" max="510" width="0.28515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7109375" style="28" customWidth="1"/>
    <col min="515" max="516" width="11.42578125" style="28"/>
    <col min="517" max="517" width="2.28515625" style="28" customWidth="1"/>
    <col min="518" max="518" width="11.42578125" style="28"/>
    <col min="519" max="519" width="9.5703125" style="28" customWidth="1"/>
    <col min="520" max="765" width="11.42578125" style="28"/>
    <col min="766" max="766" width="0.28515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7109375" style="28" customWidth="1"/>
    <col min="771" max="772" width="11.42578125" style="28"/>
    <col min="773" max="773" width="2.28515625" style="28" customWidth="1"/>
    <col min="774" max="774" width="11.42578125" style="28"/>
    <col min="775" max="775" width="9.5703125" style="28" customWidth="1"/>
    <col min="776" max="1021" width="11.42578125" style="28"/>
    <col min="1022" max="1022" width="0.28515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7109375" style="28" customWidth="1"/>
    <col min="1027" max="1028" width="11.42578125" style="28"/>
    <col min="1029" max="1029" width="2.28515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28515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7109375" style="28" customWidth="1"/>
    <col min="1283" max="1284" width="11.42578125" style="28"/>
    <col min="1285" max="1285" width="2.28515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28515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7109375" style="28" customWidth="1"/>
    <col min="1539" max="1540" width="11.42578125" style="28"/>
    <col min="1541" max="1541" width="2.28515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28515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7109375" style="28" customWidth="1"/>
    <col min="1795" max="1796" width="11.42578125" style="28"/>
    <col min="1797" max="1797" width="2.28515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28515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7109375" style="28" customWidth="1"/>
    <col min="2051" max="2052" width="11.42578125" style="28"/>
    <col min="2053" max="2053" width="2.28515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28515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7109375" style="28" customWidth="1"/>
    <col min="2307" max="2308" width="11.42578125" style="28"/>
    <col min="2309" max="2309" width="2.28515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28515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7109375" style="28" customWidth="1"/>
    <col min="2563" max="2564" width="11.42578125" style="28"/>
    <col min="2565" max="2565" width="2.28515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28515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7109375" style="28" customWidth="1"/>
    <col min="2819" max="2820" width="11.42578125" style="28"/>
    <col min="2821" max="2821" width="2.28515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28515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7109375" style="28" customWidth="1"/>
    <col min="3075" max="3076" width="11.42578125" style="28"/>
    <col min="3077" max="3077" width="2.28515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28515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7109375" style="28" customWidth="1"/>
    <col min="3331" max="3332" width="11.42578125" style="28"/>
    <col min="3333" max="3333" width="2.28515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28515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7109375" style="28" customWidth="1"/>
    <col min="3587" max="3588" width="11.42578125" style="28"/>
    <col min="3589" max="3589" width="2.28515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28515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7109375" style="28" customWidth="1"/>
    <col min="3843" max="3844" width="11.42578125" style="28"/>
    <col min="3845" max="3845" width="2.28515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28515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7109375" style="28" customWidth="1"/>
    <col min="4099" max="4100" width="11.42578125" style="28"/>
    <col min="4101" max="4101" width="2.28515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28515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7109375" style="28" customWidth="1"/>
    <col min="4355" max="4356" width="11.42578125" style="28"/>
    <col min="4357" max="4357" width="2.28515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28515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7109375" style="28" customWidth="1"/>
    <col min="4611" max="4612" width="11.42578125" style="28"/>
    <col min="4613" max="4613" width="2.28515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28515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7109375" style="28" customWidth="1"/>
    <col min="4867" max="4868" width="11.42578125" style="28"/>
    <col min="4869" max="4869" width="2.28515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28515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7109375" style="28" customWidth="1"/>
    <col min="5123" max="5124" width="11.42578125" style="28"/>
    <col min="5125" max="5125" width="2.28515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28515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7109375" style="28" customWidth="1"/>
    <col min="5379" max="5380" width="11.42578125" style="28"/>
    <col min="5381" max="5381" width="2.28515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28515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7109375" style="28" customWidth="1"/>
    <col min="5635" max="5636" width="11.42578125" style="28"/>
    <col min="5637" max="5637" width="2.28515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28515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7109375" style="28" customWidth="1"/>
    <col min="5891" max="5892" width="11.42578125" style="28"/>
    <col min="5893" max="5893" width="2.28515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28515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7109375" style="28" customWidth="1"/>
    <col min="6147" max="6148" width="11.42578125" style="28"/>
    <col min="6149" max="6149" width="2.28515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28515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7109375" style="28" customWidth="1"/>
    <col min="6403" max="6404" width="11.42578125" style="28"/>
    <col min="6405" max="6405" width="2.28515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28515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7109375" style="28" customWidth="1"/>
    <col min="6659" max="6660" width="11.42578125" style="28"/>
    <col min="6661" max="6661" width="2.28515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28515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7109375" style="28" customWidth="1"/>
    <col min="6915" max="6916" width="11.42578125" style="28"/>
    <col min="6917" max="6917" width="2.28515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28515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7109375" style="28" customWidth="1"/>
    <col min="7171" max="7172" width="11.42578125" style="28"/>
    <col min="7173" max="7173" width="2.28515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28515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7109375" style="28" customWidth="1"/>
    <col min="7427" max="7428" width="11.42578125" style="28"/>
    <col min="7429" max="7429" width="2.28515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28515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7109375" style="28" customWidth="1"/>
    <col min="7683" max="7684" width="11.42578125" style="28"/>
    <col min="7685" max="7685" width="2.28515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28515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7109375" style="28" customWidth="1"/>
    <col min="7939" max="7940" width="11.42578125" style="28"/>
    <col min="7941" max="7941" width="2.28515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28515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7109375" style="28" customWidth="1"/>
    <col min="8195" max="8196" width="11.42578125" style="28"/>
    <col min="8197" max="8197" width="2.28515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28515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7109375" style="28" customWidth="1"/>
    <col min="8451" max="8452" width="11.42578125" style="28"/>
    <col min="8453" max="8453" width="2.28515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28515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7109375" style="28" customWidth="1"/>
    <col min="8707" max="8708" width="11.42578125" style="28"/>
    <col min="8709" max="8709" width="2.28515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28515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7109375" style="28" customWidth="1"/>
    <col min="8963" max="8964" width="11.42578125" style="28"/>
    <col min="8965" max="8965" width="2.28515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28515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7109375" style="28" customWidth="1"/>
    <col min="9219" max="9220" width="11.42578125" style="28"/>
    <col min="9221" max="9221" width="2.28515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28515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7109375" style="28" customWidth="1"/>
    <col min="9475" max="9476" width="11.42578125" style="28"/>
    <col min="9477" max="9477" width="2.28515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28515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7109375" style="28" customWidth="1"/>
    <col min="9731" max="9732" width="11.42578125" style="28"/>
    <col min="9733" max="9733" width="2.28515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28515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7109375" style="28" customWidth="1"/>
    <col min="9987" max="9988" width="11.42578125" style="28"/>
    <col min="9989" max="9989" width="2.28515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28515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7109375" style="28" customWidth="1"/>
    <col min="10243" max="10244" width="11.42578125" style="28"/>
    <col min="10245" max="10245" width="2.28515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28515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7109375" style="28" customWidth="1"/>
    <col min="10499" max="10500" width="11.42578125" style="28"/>
    <col min="10501" max="10501" width="2.28515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28515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7109375" style="28" customWidth="1"/>
    <col min="10755" max="10756" width="11.42578125" style="28"/>
    <col min="10757" max="10757" width="2.28515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28515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7109375" style="28" customWidth="1"/>
    <col min="11011" max="11012" width="11.42578125" style="28"/>
    <col min="11013" max="11013" width="2.28515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28515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7109375" style="28" customWidth="1"/>
    <col min="11267" max="11268" width="11.42578125" style="28"/>
    <col min="11269" max="11269" width="2.28515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28515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7109375" style="28" customWidth="1"/>
    <col min="11523" max="11524" width="11.42578125" style="28"/>
    <col min="11525" max="11525" width="2.28515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28515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7109375" style="28" customWidth="1"/>
    <col min="11779" max="11780" width="11.42578125" style="28"/>
    <col min="11781" max="11781" width="2.28515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28515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7109375" style="28" customWidth="1"/>
    <col min="12035" max="12036" width="11.42578125" style="28"/>
    <col min="12037" max="12037" width="2.28515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28515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7109375" style="28" customWidth="1"/>
    <col min="12291" max="12292" width="11.42578125" style="28"/>
    <col min="12293" max="12293" width="2.28515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28515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7109375" style="28" customWidth="1"/>
    <col min="12547" max="12548" width="11.42578125" style="28"/>
    <col min="12549" max="12549" width="2.28515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28515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7109375" style="28" customWidth="1"/>
    <col min="12803" max="12804" width="11.42578125" style="28"/>
    <col min="12805" max="12805" width="2.28515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28515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7109375" style="28" customWidth="1"/>
    <col min="13059" max="13060" width="11.42578125" style="28"/>
    <col min="13061" max="13061" width="2.28515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28515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7109375" style="28" customWidth="1"/>
    <col min="13315" max="13316" width="11.42578125" style="28"/>
    <col min="13317" max="13317" width="2.28515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28515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7109375" style="28" customWidth="1"/>
    <col min="13571" max="13572" width="11.42578125" style="28"/>
    <col min="13573" max="13573" width="2.28515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28515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7109375" style="28" customWidth="1"/>
    <col min="13827" max="13828" width="11.42578125" style="28"/>
    <col min="13829" max="13829" width="2.28515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28515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7109375" style="28" customWidth="1"/>
    <col min="14083" max="14084" width="11.42578125" style="28"/>
    <col min="14085" max="14085" width="2.28515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28515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7109375" style="28" customWidth="1"/>
    <col min="14339" max="14340" width="11.42578125" style="28"/>
    <col min="14341" max="14341" width="2.28515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28515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7109375" style="28" customWidth="1"/>
    <col min="14595" max="14596" width="11.42578125" style="28"/>
    <col min="14597" max="14597" width="2.28515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28515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7109375" style="28" customWidth="1"/>
    <col min="14851" max="14852" width="11.42578125" style="28"/>
    <col min="14853" max="14853" width="2.28515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28515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7109375" style="28" customWidth="1"/>
    <col min="15107" max="15108" width="11.42578125" style="28"/>
    <col min="15109" max="15109" width="2.28515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28515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7109375" style="28" customWidth="1"/>
    <col min="15363" max="15364" width="11.42578125" style="28"/>
    <col min="15365" max="15365" width="2.28515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28515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7109375" style="28" customWidth="1"/>
    <col min="15619" max="15620" width="11.42578125" style="28"/>
    <col min="15621" max="15621" width="2.28515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28515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7109375" style="28" customWidth="1"/>
    <col min="15875" max="15876" width="11.42578125" style="28"/>
    <col min="15877" max="15877" width="2.28515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28515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7109375" style="28" customWidth="1"/>
    <col min="16131" max="16132" width="11.42578125" style="28"/>
    <col min="16133" max="16133" width="2.28515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Enero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1" t="s">
        <v>120</v>
      </c>
      <c r="D7" s="37"/>
      <c r="E7" s="41"/>
    </row>
    <row r="8" spans="2:12" s="31" customFormat="1" ht="12.75" customHeight="1">
      <c r="B8" s="39"/>
      <c r="C8" s="201"/>
      <c r="D8" s="37"/>
      <c r="E8" s="41"/>
      <c r="J8" s="30"/>
      <c r="K8" s="30"/>
      <c r="L8" s="30"/>
    </row>
    <row r="9" spans="2:12" s="31" customFormat="1" ht="12.75" customHeight="1">
      <c r="B9" s="39"/>
      <c r="C9" s="201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4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7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01" t="s">
        <v>128</v>
      </c>
      <c r="E24" s="35"/>
      <c r="J24" s="31"/>
      <c r="K24" s="31"/>
    </row>
    <row r="25" spans="2:12">
      <c r="C25" s="201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C25" sqref="C25"/>
    </sheetView>
  </sheetViews>
  <sheetFormatPr baseColWidth="10" defaultRowHeight="15"/>
  <cols>
    <col min="1" max="1" width="0.28515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28515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28515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28515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28515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28515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28515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28515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28515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28515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28515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28515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28515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28515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28515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28515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28515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28515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28515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28515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28515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28515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28515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28515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28515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28515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28515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28515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28515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28515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28515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28515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28515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28515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28515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28515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28515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28515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28515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28515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28515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28515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28515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28515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28515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28515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28515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28515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28515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28515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28515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28515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28515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28515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28515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28515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28515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28515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28515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28515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28515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28515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28515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28515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Enero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2" t="s">
        <v>122</v>
      </c>
      <c r="D7" s="55"/>
      <c r="E7" s="59"/>
    </row>
    <row r="8" spans="1:20" ht="12.75" customHeight="1">
      <c r="A8" s="58"/>
      <c r="B8" s="57"/>
      <c r="C8" s="202"/>
      <c r="D8" s="55"/>
      <c r="E8" s="59"/>
      <c r="F8" s="54"/>
    </row>
    <row r="9" spans="1:20" ht="12.75" customHeight="1">
      <c r="A9" s="58"/>
      <c r="B9" s="57"/>
      <c r="C9" s="189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2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6" zoomScaleNormal="100" workbookViewId="0">
      <selection activeCell="K25" sqref="K25"/>
    </sheetView>
  </sheetViews>
  <sheetFormatPr baseColWidth="10" defaultRowHeight="12.75"/>
  <cols>
    <col min="1" max="1" width="0.28515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7109375" style="29" customWidth="1"/>
    <col min="6" max="6" width="11.42578125" style="28"/>
    <col min="7" max="7" width="19.7109375" style="28" customWidth="1"/>
    <col min="8" max="9" width="11.42578125" style="28"/>
    <col min="10" max="10" width="11" style="28" bestFit="1" customWidth="1"/>
    <col min="11" max="253" width="11.42578125" style="28"/>
    <col min="254" max="254" width="0.28515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7109375" style="28" customWidth="1"/>
    <col min="259" max="260" width="11.42578125" style="28"/>
    <col min="261" max="261" width="2.28515625" style="28" customWidth="1"/>
    <col min="262" max="262" width="11.42578125" style="28"/>
    <col min="263" max="263" width="9.5703125" style="28" customWidth="1"/>
    <col min="264" max="509" width="11.42578125" style="28"/>
    <col min="510" max="510" width="0.28515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7109375" style="28" customWidth="1"/>
    <col min="515" max="516" width="11.42578125" style="28"/>
    <col min="517" max="517" width="2.28515625" style="28" customWidth="1"/>
    <col min="518" max="518" width="11.42578125" style="28"/>
    <col min="519" max="519" width="9.5703125" style="28" customWidth="1"/>
    <col min="520" max="765" width="11.42578125" style="28"/>
    <col min="766" max="766" width="0.28515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7109375" style="28" customWidth="1"/>
    <col min="771" max="772" width="11.42578125" style="28"/>
    <col min="773" max="773" width="2.28515625" style="28" customWidth="1"/>
    <col min="774" max="774" width="11.42578125" style="28"/>
    <col min="775" max="775" width="9.5703125" style="28" customWidth="1"/>
    <col min="776" max="1021" width="11.42578125" style="28"/>
    <col min="1022" max="1022" width="0.28515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7109375" style="28" customWidth="1"/>
    <col min="1027" max="1028" width="11.42578125" style="28"/>
    <col min="1029" max="1029" width="2.28515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28515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7109375" style="28" customWidth="1"/>
    <col min="1283" max="1284" width="11.42578125" style="28"/>
    <col min="1285" max="1285" width="2.28515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28515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7109375" style="28" customWidth="1"/>
    <col min="1539" max="1540" width="11.42578125" style="28"/>
    <col min="1541" max="1541" width="2.28515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28515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7109375" style="28" customWidth="1"/>
    <col min="1795" max="1796" width="11.42578125" style="28"/>
    <col min="1797" max="1797" width="2.28515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28515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7109375" style="28" customWidth="1"/>
    <col min="2051" max="2052" width="11.42578125" style="28"/>
    <col min="2053" max="2053" width="2.28515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28515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7109375" style="28" customWidth="1"/>
    <col min="2307" max="2308" width="11.42578125" style="28"/>
    <col min="2309" max="2309" width="2.28515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28515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7109375" style="28" customWidth="1"/>
    <col min="2563" max="2564" width="11.42578125" style="28"/>
    <col min="2565" max="2565" width="2.28515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28515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7109375" style="28" customWidth="1"/>
    <col min="2819" max="2820" width="11.42578125" style="28"/>
    <col min="2821" max="2821" width="2.28515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28515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7109375" style="28" customWidth="1"/>
    <col min="3075" max="3076" width="11.42578125" style="28"/>
    <col min="3077" max="3077" width="2.28515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28515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7109375" style="28" customWidth="1"/>
    <col min="3331" max="3332" width="11.42578125" style="28"/>
    <col min="3333" max="3333" width="2.28515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28515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7109375" style="28" customWidth="1"/>
    <col min="3587" max="3588" width="11.42578125" style="28"/>
    <col min="3589" max="3589" width="2.28515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28515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7109375" style="28" customWidth="1"/>
    <col min="3843" max="3844" width="11.42578125" style="28"/>
    <col min="3845" max="3845" width="2.28515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28515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7109375" style="28" customWidth="1"/>
    <col min="4099" max="4100" width="11.42578125" style="28"/>
    <col min="4101" max="4101" width="2.28515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28515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7109375" style="28" customWidth="1"/>
    <col min="4355" max="4356" width="11.42578125" style="28"/>
    <col min="4357" max="4357" width="2.28515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28515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7109375" style="28" customWidth="1"/>
    <col min="4611" max="4612" width="11.42578125" style="28"/>
    <col min="4613" max="4613" width="2.28515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28515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7109375" style="28" customWidth="1"/>
    <col min="4867" max="4868" width="11.42578125" style="28"/>
    <col min="4869" max="4869" width="2.28515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28515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7109375" style="28" customWidth="1"/>
    <col min="5123" max="5124" width="11.42578125" style="28"/>
    <col min="5125" max="5125" width="2.28515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28515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7109375" style="28" customWidth="1"/>
    <col min="5379" max="5380" width="11.42578125" style="28"/>
    <col min="5381" max="5381" width="2.28515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28515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7109375" style="28" customWidth="1"/>
    <col min="5635" max="5636" width="11.42578125" style="28"/>
    <col min="5637" max="5637" width="2.28515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28515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7109375" style="28" customWidth="1"/>
    <col min="5891" max="5892" width="11.42578125" style="28"/>
    <col min="5893" max="5893" width="2.28515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28515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7109375" style="28" customWidth="1"/>
    <col min="6147" max="6148" width="11.42578125" style="28"/>
    <col min="6149" max="6149" width="2.28515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28515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7109375" style="28" customWidth="1"/>
    <col min="6403" max="6404" width="11.42578125" style="28"/>
    <col min="6405" max="6405" width="2.28515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28515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7109375" style="28" customWidth="1"/>
    <col min="6659" max="6660" width="11.42578125" style="28"/>
    <col min="6661" max="6661" width="2.28515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28515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7109375" style="28" customWidth="1"/>
    <col min="6915" max="6916" width="11.42578125" style="28"/>
    <col min="6917" max="6917" width="2.28515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28515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7109375" style="28" customWidth="1"/>
    <col min="7171" max="7172" width="11.42578125" style="28"/>
    <col min="7173" max="7173" width="2.28515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28515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7109375" style="28" customWidth="1"/>
    <col min="7427" max="7428" width="11.42578125" style="28"/>
    <col min="7429" max="7429" width="2.28515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28515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7109375" style="28" customWidth="1"/>
    <col min="7683" max="7684" width="11.42578125" style="28"/>
    <col min="7685" max="7685" width="2.28515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28515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7109375" style="28" customWidth="1"/>
    <col min="7939" max="7940" width="11.42578125" style="28"/>
    <col min="7941" max="7941" width="2.28515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28515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7109375" style="28" customWidth="1"/>
    <col min="8195" max="8196" width="11.42578125" style="28"/>
    <col min="8197" max="8197" width="2.28515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28515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7109375" style="28" customWidth="1"/>
    <col min="8451" max="8452" width="11.42578125" style="28"/>
    <col min="8453" max="8453" width="2.28515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28515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7109375" style="28" customWidth="1"/>
    <col min="8707" max="8708" width="11.42578125" style="28"/>
    <col min="8709" max="8709" width="2.28515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28515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7109375" style="28" customWidth="1"/>
    <col min="8963" max="8964" width="11.42578125" style="28"/>
    <col min="8965" max="8965" width="2.28515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28515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7109375" style="28" customWidth="1"/>
    <col min="9219" max="9220" width="11.42578125" style="28"/>
    <col min="9221" max="9221" width="2.28515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28515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7109375" style="28" customWidth="1"/>
    <col min="9475" max="9476" width="11.42578125" style="28"/>
    <col min="9477" max="9477" width="2.28515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28515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7109375" style="28" customWidth="1"/>
    <col min="9731" max="9732" width="11.42578125" style="28"/>
    <col min="9733" max="9733" width="2.28515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28515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7109375" style="28" customWidth="1"/>
    <col min="9987" max="9988" width="11.42578125" style="28"/>
    <col min="9989" max="9989" width="2.28515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28515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7109375" style="28" customWidth="1"/>
    <col min="10243" max="10244" width="11.42578125" style="28"/>
    <col min="10245" max="10245" width="2.28515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28515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7109375" style="28" customWidth="1"/>
    <col min="10499" max="10500" width="11.42578125" style="28"/>
    <col min="10501" max="10501" width="2.28515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28515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7109375" style="28" customWidth="1"/>
    <col min="10755" max="10756" width="11.42578125" style="28"/>
    <col min="10757" max="10757" width="2.28515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28515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7109375" style="28" customWidth="1"/>
    <col min="11011" max="11012" width="11.42578125" style="28"/>
    <col min="11013" max="11013" width="2.28515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28515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7109375" style="28" customWidth="1"/>
    <col min="11267" max="11268" width="11.42578125" style="28"/>
    <col min="11269" max="11269" width="2.28515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28515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7109375" style="28" customWidth="1"/>
    <col min="11523" max="11524" width="11.42578125" style="28"/>
    <col min="11525" max="11525" width="2.28515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28515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7109375" style="28" customWidth="1"/>
    <col min="11779" max="11780" width="11.42578125" style="28"/>
    <col min="11781" max="11781" width="2.28515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28515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7109375" style="28" customWidth="1"/>
    <col min="12035" max="12036" width="11.42578125" style="28"/>
    <col min="12037" max="12037" width="2.28515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28515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7109375" style="28" customWidth="1"/>
    <col min="12291" max="12292" width="11.42578125" style="28"/>
    <col min="12293" max="12293" width="2.28515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28515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7109375" style="28" customWidth="1"/>
    <col min="12547" max="12548" width="11.42578125" style="28"/>
    <col min="12549" max="12549" width="2.28515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28515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7109375" style="28" customWidth="1"/>
    <col min="12803" max="12804" width="11.42578125" style="28"/>
    <col min="12805" max="12805" width="2.28515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28515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7109375" style="28" customWidth="1"/>
    <col min="13059" max="13060" width="11.42578125" style="28"/>
    <col min="13061" max="13061" width="2.28515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28515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7109375" style="28" customWidth="1"/>
    <col min="13315" max="13316" width="11.42578125" style="28"/>
    <col min="13317" max="13317" width="2.28515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28515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7109375" style="28" customWidth="1"/>
    <col min="13571" max="13572" width="11.42578125" style="28"/>
    <col min="13573" max="13573" width="2.28515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28515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7109375" style="28" customWidth="1"/>
    <col min="13827" max="13828" width="11.42578125" style="28"/>
    <col min="13829" max="13829" width="2.28515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28515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7109375" style="28" customWidth="1"/>
    <col min="14083" max="14084" width="11.42578125" style="28"/>
    <col min="14085" max="14085" width="2.28515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28515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7109375" style="28" customWidth="1"/>
    <col min="14339" max="14340" width="11.42578125" style="28"/>
    <col min="14341" max="14341" width="2.28515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28515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7109375" style="28" customWidth="1"/>
    <col min="14595" max="14596" width="11.42578125" style="28"/>
    <col min="14597" max="14597" width="2.28515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28515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7109375" style="28" customWidth="1"/>
    <col min="14851" max="14852" width="11.42578125" style="28"/>
    <col min="14853" max="14853" width="2.28515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28515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7109375" style="28" customWidth="1"/>
    <col min="15107" max="15108" width="11.42578125" style="28"/>
    <col min="15109" max="15109" width="2.28515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28515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7109375" style="28" customWidth="1"/>
    <col min="15363" max="15364" width="11.42578125" style="28"/>
    <col min="15365" max="15365" width="2.28515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28515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7109375" style="28" customWidth="1"/>
    <col min="15619" max="15620" width="11.42578125" style="28"/>
    <col min="15621" max="15621" width="2.28515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28515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7109375" style="28" customWidth="1"/>
    <col min="15875" max="15876" width="11.42578125" style="28"/>
    <col min="15877" max="15877" width="2.28515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28515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7109375" style="28" customWidth="1"/>
    <col min="16131" max="16132" width="11.42578125" style="28"/>
    <col min="16133" max="16133" width="2.28515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Enero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1" t="s">
        <v>121</v>
      </c>
      <c r="D7" s="37"/>
      <c r="E7" s="41"/>
    </row>
    <row r="8" spans="2:12" s="31" customFormat="1" ht="12.75" customHeight="1">
      <c r="B8" s="39"/>
      <c r="C8" s="201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01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141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01" t="s">
        <v>129</v>
      </c>
      <c r="E24" s="35"/>
      <c r="J24" s="31"/>
      <c r="K24" s="31"/>
    </row>
    <row r="25" spans="2:12">
      <c r="C25" s="201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C12" sqref="C12"/>
    </sheetView>
  </sheetViews>
  <sheetFormatPr baseColWidth="10" defaultRowHeight="15"/>
  <cols>
    <col min="1" max="1" width="0.28515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28515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28515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28515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28515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28515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28515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28515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28515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28515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28515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28515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28515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28515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28515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28515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28515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28515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28515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28515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28515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28515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28515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28515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28515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28515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28515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28515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28515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28515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28515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28515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28515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28515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28515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28515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28515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28515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28515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28515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28515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28515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28515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28515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28515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28515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28515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28515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28515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28515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28515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28515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28515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28515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28515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28515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28515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28515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28515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28515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28515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28515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28515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28515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Enero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2" t="s">
        <v>123</v>
      </c>
      <c r="D7" s="55"/>
      <c r="E7" s="59"/>
    </row>
    <row r="8" spans="1:20" ht="12.75" customHeight="1">
      <c r="A8" s="58"/>
      <c r="B8" s="57"/>
      <c r="C8" s="202"/>
      <c r="D8" s="55"/>
      <c r="E8" s="59"/>
      <c r="F8" s="54"/>
    </row>
    <row r="9" spans="1:20" ht="12.75" customHeight="1">
      <c r="A9" s="58"/>
      <c r="B9" s="57"/>
      <c r="C9" s="189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2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80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topLeftCell="A7" zoomScale="80" zoomScaleNormal="80" workbookViewId="0">
      <selection activeCell="C150" sqref="C150"/>
    </sheetView>
  </sheetViews>
  <sheetFormatPr baseColWidth="10" defaultColWidth="11.42578125" defaultRowHeight="12"/>
  <cols>
    <col min="1" max="1" width="19.28515625" style="99" customWidth="1"/>
    <col min="2" max="2" width="13.28515625" style="99" bestFit="1" customWidth="1"/>
    <col min="3" max="3" width="24.5703125" style="99" bestFit="1" customWidth="1"/>
    <col min="4" max="4" width="20.28515625" style="99" bestFit="1" customWidth="1"/>
    <col min="5" max="5" width="20.85546875" style="99" bestFit="1" customWidth="1"/>
    <col min="6" max="6" width="33.28515625" style="99" bestFit="1" customWidth="1"/>
    <col min="7" max="7" width="24.5703125" style="99" bestFit="1" customWidth="1"/>
    <col min="8" max="8" width="20.28515625" style="99" bestFit="1" customWidth="1"/>
    <col min="9" max="9" width="20.85546875" style="99" bestFit="1" customWidth="1"/>
    <col min="10" max="10" width="28.7109375" style="99" bestFit="1" customWidth="1"/>
    <col min="11" max="11" width="29" style="99" bestFit="1" customWidth="1"/>
    <col min="12" max="12" width="24.7109375" style="99" bestFit="1" customWidth="1"/>
    <col min="13" max="13" width="25.28515625" style="99" bestFit="1" customWidth="1"/>
    <col min="14" max="14" width="33.28515625" style="99" bestFit="1" customWidth="1"/>
    <col min="15" max="33" width="23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108</v>
      </c>
      <c r="B2" s="127" t="s">
        <v>109</v>
      </c>
    </row>
    <row r="4" spans="1:33" ht="15">
      <c r="A4" s="128" t="s">
        <v>59</v>
      </c>
      <c r="B4" s="203" t="s">
        <v>108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33" ht="15">
      <c r="A5" s="128" t="s">
        <v>60</v>
      </c>
      <c r="B5" s="205" t="s">
        <v>15</v>
      </c>
      <c r="C5" s="206"/>
      <c r="D5" s="206"/>
      <c r="E5" s="206"/>
      <c r="F5" s="206"/>
      <c r="G5" s="206"/>
      <c r="H5" s="206"/>
      <c r="I5" s="207"/>
      <c r="J5" s="205" t="s">
        <v>14</v>
      </c>
      <c r="K5" s="206"/>
      <c r="L5" s="206"/>
      <c r="M5" s="206"/>
      <c r="N5" s="206"/>
      <c r="O5" s="206"/>
      <c r="P5" s="206"/>
      <c r="Q5" s="207"/>
      <c r="R5" s="205" t="s">
        <v>49</v>
      </c>
      <c r="S5" s="206"/>
      <c r="T5" s="206"/>
      <c r="U5" s="206"/>
      <c r="V5" s="206"/>
      <c r="W5" s="206"/>
      <c r="X5" s="206"/>
      <c r="Y5" s="207"/>
      <c r="Z5" s="205" t="s">
        <v>50</v>
      </c>
      <c r="AA5" s="206"/>
      <c r="AB5" s="206"/>
      <c r="AC5" s="206"/>
      <c r="AD5" s="206"/>
      <c r="AE5" s="206"/>
      <c r="AF5" s="206"/>
      <c r="AG5" s="206"/>
    </row>
    <row r="6" spans="1:33">
      <c r="A6" s="128" t="s">
        <v>61</v>
      </c>
      <c r="B6" s="154" t="s">
        <v>51</v>
      </c>
      <c r="C6" s="154" t="s">
        <v>52</v>
      </c>
      <c r="D6" s="154" t="s">
        <v>53</v>
      </c>
      <c r="E6" s="154" t="s">
        <v>54</v>
      </c>
      <c r="F6" s="154" t="s">
        <v>55</v>
      </c>
      <c r="G6" s="154" t="s">
        <v>56</v>
      </c>
      <c r="H6" s="154" t="s">
        <v>57</v>
      </c>
      <c r="I6" s="154" t="s">
        <v>58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55</v>
      </c>
      <c r="O6" s="154" t="s">
        <v>56</v>
      </c>
      <c r="P6" s="154" t="s">
        <v>57</v>
      </c>
      <c r="Q6" s="154" t="s">
        <v>58</v>
      </c>
      <c r="R6" s="154" t="s">
        <v>51</v>
      </c>
      <c r="S6" s="154" t="s">
        <v>52</v>
      </c>
      <c r="T6" s="154" t="s">
        <v>53</v>
      </c>
      <c r="U6" s="154" t="s">
        <v>54</v>
      </c>
      <c r="V6" s="154" t="s">
        <v>55</v>
      </c>
      <c r="W6" s="154" t="s">
        <v>56</v>
      </c>
      <c r="X6" s="154" t="s">
        <v>57</v>
      </c>
      <c r="Y6" s="154" t="s">
        <v>58</v>
      </c>
      <c r="Z6" s="154" t="s">
        <v>51</v>
      </c>
      <c r="AA6" s="154" t="s">
        <v>52</v>
      </c>
      <c r="AB6" s="154" t="s">
        <v>53</v>
      </c>
      <c r="AC6" s="154" t="s">
        <v>54</v>
      </c>
      <c r="AD6" s="154" t="s">
        <v>55</v>
      </c>
      <c r="AE6" s="154" t="s">
        <v>56</v>
      </c>
      <c r="AF6" s="154" t="s">
        <v>57</v>
      </c>
      <c r="AG6" s="154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162">
        <v>0</v>
      </c>
      <c r="C8" s="162">
        <v>0</v>
      </c>
      <c r="D8" s="163">
        <v>0</v>
      </c>
      <c r="E8" s="162">
        <v>0</v>
      </c>
      <c r="F8" s="162">
        <v>0</v>
      </c>
      <c r="G8" s="163">
        <v>0</v>
      </c>
      <c r="H8" s="162">
        <v>0</v>
      </c>
      <c r="I8" s="163">
        <v>0</v>
      </c>
      <c r="J8" s="162">
        <v>0</v>
      </c>
      <c r="K8" s="162">
        <v>0</v>
      </c>
      <c r="L8" s="163">
        <v>0</v>
      </c>
      <c r="M8" s="162">
        <v>0</v>
      </c>
      <c r="N8" s="162">
        <v>0</v>
      </c>
      <c r="O8" s="163">
        <v>0</v>
      </c>
      <c r="P8" s="162">
        <v>0</v>
      </c>
      <c r="Q8" s="163">
        <v>0</v>
      </c>
      <c r="R8" s="162">
        <v>0</v>
      </c>
      <c r="S8" s="162">
        <v>0</v>
      </c>
      <c r="T8" s="163">
        <v>0</v>
      </c>
      <c r="U8" s="162">
        <v>0</v>
      </c>
      <c r="V8" s="162">
        <v>0</v>
      </c>
      <c r="W8" s="163">
        <v>0</v>
      </c>
      <c r="X8" s="162">
        <v>0</v>
      </c>
      <c r="Y8" s="163">
        <v>0</v>
      </c>
      <c r="Z8" s="162">
        <v>285.24200000000002</v>
      </c>
      <c r="AA8" s="162">
        <v>296.24200000000002</v>
      </c>
      <c r="AB8" s="163">
        <v>-3.7131804400000003E-2</v>
      </c>
      <c r="AC8" s="162">
        <v>285.24200000000002</v>
      </c>
      <c r="AD8" s="162">
        <v>296.24200000000002</v>
      </c>
      <c r="AE8" s="163">
        <v>-3.7131804400000003E-2</v>
      </c>
      <c r="AF8" s="162">
        <v>3378.4409999999998</v>
      </c>
      <c r="AG8" s="163">
        <v>-2.6385317799999999E-2</v>
      </c>
    </row>
    <row r="9" spans="1:33">
      <c r="A9" s="127" t="s">
        <v>11</v>
      </c>
      <c r="B9" s="162">
        <v>0</v>
      </c>
      <c r="C9" s="162">
        <v>0</v>
      </c>
      <c r="D9" s="163">
        <v>0</v>
      </c>
      <c r="E9" s="162">
        <v>0</v>
      </c>
      <c r="F9" s="162">
        <v>0</v>
      </c>
      <c r="G9" s="163">
        <v>0</v>
      </c>
      <c r="H9" s="162">
        <v>0</v>
      </c>
      <c r="I9" s="163">
        <v>0</v>
      </c>
      <c r="J9" s="162">
        <v>0</v>
      </c>
      <c r="K9" s="162">
        <v>0</v>
      </c>
      <c r="L9" s="163">
        <v>0</v>
      </c>
      <c r="M9" s="162">
        <v>0</v>
      </c>
      <c r="N9" s="162">
        <v>0</v>
      </c>
      <c r="O9" s="163">
        <v>0</v>
      </c>
      <c r="P9" s="162">
        <v>0</v>
      </c>
      <c r="Q9" s="163">
        <v>0</v>
      </c>
      <c r="R9" s="162">
        <v>4631.9679999999998</v>
      </c>
      <c r="S9" s="162">
        <v>0</v>
      </c>
      <c r="T9" s="163">
        <v>0</v>
      </c>
      <c r="U9" s="162">
        <v>4631.9679999999998</v>
      </c>
      <c r="V9" s="162">
        <v>0</v>
      </c>
      <c r="W9" s="163">
        <v>0</v>
      </c>
      <c r="X9" s="162">
        <v>62682.707999999999</v>
      </c>
      <c r="Y9" s="163">
        <v>-0.17452324259999999</v>
      </c>
      <c r="Z9" s="162">
        <v>0</v>
      </c>
      <c r="AA9" s="162">
        <v>0</v>
      </c>
      <c r="AB9" s="163">
        <v>0</v>
      </c>
      <c r="AC9" s="162">
        <v>0</v>
      </c>
      <c r="AD9" s="162">
        <v>0</v>
      </c>
      <c r="AE9" s="163">
        <v>0</v>
      </c>
      <c r="AF9" s="162">
        <v>0</v>
      </c>
      <c r="AG9" s="163">
        <v>0</v>
      </c>
    </row>
    <row r="10" spans="1:33">
      <c r="A10" s="127" t="s">
        <v>70</v>
      </c>
      <c r="B10" s="162">
        <v>17089.555</v>
      </c>
      <c r="C10" s="162">
        <v>15945.093000000001</v>
      </c>
      <c r="D10" s="163">
        <v>7.1775185000000005E-2</v>
      </c>
      <c r="E10" s="162">
        <v>17089.555</v>
      </c>
      <c r="F10" s="162">
        <v>15945.093000000001</v>
      </c>
      <c r="G10" s="163">
        <v>7.1775185000000005E-2</v>
      </c>
      <c r="H10" s="162">
        <v>187019.44200000001</v>
      </c>
      <c r="I10" s="163">
        <v>9.3718693000000002E-3</v>
      </c>
      <c r="J10" s="162">
        <v>17414.43</v>
      </c>
      <c r="K10" s="162">
        <v>15293.357</v>
      </c>
      <c r="L10" s="163">
        <v>0.13869244010000001</v>
      </c>
      <c r="M10" s="162">
        <v>17414.43</v>
      </c>
      <c r="N10" s="162">
        <v>15293.357</v>
      </c>
      <c r="O10" s="163">
        <v>0.13869244010000001</v>
      </c>
      <c r="P10" s="162">
        <v>193436.34700000001</v>
      </c>
      <c r="Q10" s="163">
        <v>1.2382699E-2</v>
      </c>
      <c r="R10" s="162">
        <v>8585.4889999999996</v>
      </c>
      <c r="S10" s="162">
        <v>6197.9409999999998</v>
      </c>
      <c r="T10" s="163">
        <v>0.38521631620000002</v>
      </c>
      <c r="U10" s="162">
        <v>8585.4889999999996</v>
      </c>
      <c r="V10" s="162">
        <v>6197.9409999999998</v>
      </c>
      <c r="W10" s="163">
        <v>0.38521631620000002</v>
      </c>
      <c r="X10" s="162">
        <v>264211.46399999998</v>
      </c>
      <c r="Y10" s="163">
        <v>1.5776941900000001E-2</v>
      </c>
      <c r="Z10" s="162">
        <v>164446.28099999999</v>
      </c>
      <c r="AA10" s="162">
        <v>169881.87400000001</v>
      </c>
      <c r="AB10" s="163">
        <v>-3.1996309399999999E-2</v>
      </c>
      <c r="AC10" s="162">
        <v>164446.28099999999</v>
      </c>
      <c r="AD10" s="162">
        <v>169881.87400000001</v>
      </c>
      <c r="AE10" s="163">
        <v>-3.1996309399999999E-2</v>
      </c>
      <c r="AF10" s="162">
        <v>1872511.399</v>
      </c>
      <c r="AG10" s="163">
        <v>-3.50655473E-2</v>
      </c>
    </row>
    <row r="11" spans="1:33">
      <c r="A11" s="127" t="s">
        <v>9</v>
      </c>
      <c r="B11" s="162">
        <v>3.4870000000000001</v>
      </c>
      <c r="C11" s="162">
        <v>3.6589999999999998</v>
      </c>
      <c r="D11" s="163">
        <v>-4.7007379100000003E-2</v>
      </c>
      <c r="E11" s="162">
        <v>3.4870000000000001</v>
      </c>
      <c r="F11" s="162">
        <v>3.6589999999999998</v>
      </c>
      <c r="G11" s="163">
        <v>-4.7007379100000003E-2</v>
      </c>
      <c r="H11" s="162">
        <v>639.9</v>
      </c>
      <c r="I11" s="163">
        <v>1.5275207072000001</v>
      </c>
      <c r="J11" s="162">
        <v>1.403</v>
      </c>
      <c r="K11" s="162">
        <v>2.448</v>
      </c>
      <c r="L11" s="163">
        <v>-0.42687908499999999</v>
      </c>
      <c r="M11" s="162">
        <v>1.403</v>
      </c>
      <c r="N11" s="162">
        <v>2.448</v>
      </c>
      <c r="O11" s="163">
        <v>-0.42687908499999999</v>
      </c>
      <c r="P11" s="162">
        <v>251.18199999999999</v>
      </c>
      <c r="Q11" s="163">
        <v>4.8276182079999996</v>
      </c>
      <c r="R11" s="162">
        <v>23827.804</v>
      </c>
      <c r="S11" s="162">
        <v>25499.687000000002</v>
      </c>
      <c r="T11" s="163">
        <v>-6.5564843999999997E-2</v>
      </c>
      <c r="U11" s="162">
        <v>23827.804</v>
      </c>
      <c r="V11" s="162">
        <v>25499.687000000002</v>
      </c>
      <c r="W11" s="163">
        <v>-6.5564843999999997E-2</v>
      </c>
      <c r="X11" s="162">
        <v>412278.78899999999</v>
      </c>
      <c r="Y11" s="163">
        <v>-0.13691290749999999</v>
      </c>
      <c r="Z11" s="162">
        <v>37045.735999999997</v>
      </c>
      <c r="AA11" s="162">
        <v>28281.392</v>
      </c>
      <c r="AB11" s="163">
        <v>0.30989790039999998</v>
      </c>
      <c r="AC11" s="162">
        <v>37045.735999999997</v>
      </c>
      <c r="AD11" s="162">
        <v>28281.392</v>
      </c>
      <c r="AE11" s="163">
        <v>0.30989790039999998</v>
      </c>
      <c r="AF11" s="162">
        <v>262543.15899999999</v>
      </c>
      <c r="AG11" s="163">
        <v>-3.5946077299999997E-2</v>
      </c>
    </row>
    <row r="12" spans="1:33">
      <c r="A12" s="127" t="s">
        <v>8</v>
      </c>
      <c r="B12" s="162">
        <v>0</v>
      </c>
      <c r="C12" s="162">
        <v>0</v>
      </c>
      <c r="D12" s="163">
        <v>0</v>
      </c>
      <c r="E12" s="162">
        <v>0</v>
      </c>
      <c r="F12" s="162">
        <v>0</v>
      </c>
      <c r="G12" s="163">
        <v>0</v>
      </c>
      <c r="H12" s="162">
        <v>0</v>
      </c>
      <c r="I12" s="163">
        <v>0</v>
      </c>
      <c r="J12" s="162">
        <v>0</v>
      </c>
      <c r="K12" s="162">
        <v>0</v>
      </c>
      <c r="L12" s="163">
        <v>0</v>
      </c>
      <c r="M12" s="162">
        <v>0</v>
      </c>
      <c r="N12" s="162">
        <v>0</v>
      </c>
      <c r="O12" s="163">
        <v>0</v>
      </c>
      <c r="P12" s="162">
        <v>0</v>
      </c>
      <c r="Q12" s="163">
        <v>0</v>
      </c>
      <c r="R12" s="162">
        <v>0</v>
      </c>
      <c r="S12" s="162">
        <v>0</v>
      </c>
      <c r="T12" s="163">
        <v>0</v>
      </c>
      <c r="U12" s="162">
        <v>0</v>
      </c>
      <c r="V12" s="162">
        <v>0</v>
      </c>
      <c r="W12" s="163">
        <v>0</v>
      </c>
      <c r="X12" s="162">
        <v>0</v>
      </c>
      <c r="Y12" s="163">
        <v>0</v>
      </c>
      <c r="Z12" s="162">
        <v>82867.551999999996</v>
      </c>
      <c r="AA12" s="162">
        <v>121758.736</v>
      </c>
      <c r="AB12" s="163">
        <v>-0.31941185719999998</v>
      </c>
      <c r="AC12" s="162">
        <v>82867.551999999996</v>
      </c>
      <c r="AD12" s="162">
        <v>121758.736</v>
      </c>
      <c r="AE12" s="163">
        <v>-0.31941185719999998</v>
      </c>
      <c r="AF12" s="162">
        <v>1140467.8540000001</v>
      </c>
      <c r="AG12" s="163">
        <v>-9.1632287699999995E-2</v>
      </c>
    </row>
    <row r="13" spans="1:33">
      <c r="A13" s="127" t="s">
        <v>25</v>
      </c>
      <c r="B13" s="162">
        <v>0</v>
      </c>
      <c r="C13" s="162">
        <v>0</v>
      </c>
      <c r="D13" s="163">
        <v>0</v>
      </c>
      <c r="E13" s="162">
        <v>0</v>
      </c>
      <c r="F13" s="162">
        <v>0</v>
      </c>
      <c r="G13" s="163">
        <v>0</v>
      </c>
      <c r="H13" s="162">
        <v>0</v>
      </c>
      <c r="I13" s="163">
        <v>0</v>
      </c>
      <c r="J13" s="162">
        <v>0</v>
      </c>
      <c r="K13" s="162">
        <v>0</v>
      </c>
      <c r="L13" s="163">
        <v>0</v>
      </c>
      <c r="M13" s="162">
        <v>0</v>
      </c>
      <c r="N13" s="162">
        <v>0</v>
      </c>
      <c r="O13" s="163">
        <v>0</v>
      </c>
      <c r="P13" s="162">
        <v>0</v>
      </c>
      <c r="Q13" s="163">
        <v>0</v>
      </c>
      <c r="R13" s="162">
        <v>284762.47399999999</v>
      </c>
      <c r="S13" s="162">
        <v>245660.033</v>
      </c>
      <c r="T13" s="163">
        <v>0.15917298599999999</v>
      </c>
      <c r="U13" s="162">
        <v>284762.47399999999</v>
      </c>
      <c r="V13" s="162">
        <v>245660.033</v>
      </c>
      <c r="W13" s="163">
        <v>0.15917298599999999</v>
      </c>
      <c r="X13" s="162">
        <v>2951818.2990000001</v>
      </c>
      <c r="Y13" s="163">
        <v>-4.6174484199999997E-2</v>
      </c>
      <c r="Z13" s="162">
        <v>342565.68199999997</v>
      </c>
      <c r="AA13" s="162">
        <v>349626.75199999998</v>
      </c>
      <c r="AB13" s="163">
        <v>-2.01960232E-2</v>
      </c>
      <c r="AC13" s="162">
        <v>342565.68199999997</v>
      </c>
      <c r="AD13" s="162">
        <v>349626.75199999998</v>
      </c>
      <c r="AE13" s="163">
        <v>-2.01960232E-2</v>
      </c>
      <c r="AF13" s="162">
        <v>3728481.5720000002</v>
      </c>
      <c r="AG13" s="163">
        <v>-1.39089482E-2</v>
      </c>
    </row>
    <row r="14" spans="1:33">
      <c r="A14" s="127" t="s">
        <v>24</v>
      </c>
      <c r="B14" s="162">
        <v>0</v>
      </c>
      <c r="C14" s="162">
        <v>0</v>
      </c>
      <c r="D14" s="163">
        <v>0</v>
      </c>
      <c r="E14" s="162">
        <v>0</v>
      </c>
      <c r="F14" s="162">
        <v>0</v>
      </c>
      <c r="G14" s="163">
        <v>0</v>
      </c>
      <c r="H14" s="162">
        <v>0</v>
      </c>
      <c r="I14" s="163">
        <v>0</v>
      </c>
      <c r="J14" s="162">
        <v>0</v>
      </c>
      <c r="K14" s="162">
        <v>0</v>
      </c>
      <c r="L14" s="163">
        <v>0</v>
      </c>
      <c r="M14" s="162">
        <v>0</v>
      </c>
      <c r="N14" s="162">
        <v>0</v>
      </c>
      <c r="O14" s="163">
        <v>0</v>
      </c>
      <c r="P14" s="162">
        <v>0</v>
      </c>
      <c r="Q14" s="163">
        <v>0</v>
      </c>
      <c r="R14" s="162">
        <v>0</v>
      </c>
      <c r="S14" s="162">
        <v>0</v>
      </c>
      <c r="T14" s="163">
        <v>0</v>
      </c>
      <c r="U14" s="162">
        <v>0</v>
      </c>
      <c r="V14" s="162">
        <v>0</v>
      </c>
      <c r="W14" s="163">
        <v>0</v>
      </c>
      <c r="X14" s="162">
        <v>0</v>
      </c>
      <c r="Y14" s="163">
        <v>0</v>
      </c>
      <c r="Z14" s="162">
        <v>0</v>
      </c>
      <c r="AA14" s="162">
        <v>0</v>
      </c>
      <c r="AB14" s="163">
        <v>0</v>
      </c>
      <c r="AC14" s="162">
        <v>0</v>
      </c>
      <c r="AD14" s="162">
        <v>0</v>
      </c>
      <c r="AE14" s="163">
        <v>0</v>
      </c>
      <c r="AF14" s="162">
        <v>0</v>
      </c>
      <c r="AG14" s="163">
        <v>-1</v>
      </c>
    </row>
    <row r="15" spans="1:33">
      <c r="A15" s="127" t="s">
        <v>6</v>
      </c>
      <c r="B15" s="162">
        <v>0</v>
      </c>
      <c r="C15" s="162">
        <v>0</v>
      </c>
      <c r="D15" s="163">
        <v>0</v>
      </c>
      <c r="E15" s="162">
        <v>0</v>
      </c>
      <c r="F15" s="162">
        <v>0</v>
      </c>
      <c r="G15" s="163">
        <v>0</v>
      </c>
      <c r="H15" s="162">
        <v>0</v>
      </c>
      <c r="I15" s="163">
        <v>0</v>
      </c>
      <c r="J15" s="162">
        <v>0</v>
      </c>
      <c r="K15" s="162">
        <v>0</v>
      </c>
      <c r="L15" s="163">
        <v>0</v>
      </c>
      <c r="M15" s="162">
        <v>0</v>
      </c>
      <c r="N15" s="162">
        <v>0</v>
      </c>
      <c r="O15" s="163">
        <v>0</v>
      </c>
      <c r="P15" s="162">
        <v>0</v>
      </c>
      <c r="Q15" s="163">
        <v>0</v>
      </c>
      <c r="R15" s="162">
        <v>0</v>
      </c>
      <c r="S15" s="162">
        <v>0</v>
      </c>
      <c r="T15" s="163">
        <v>0</v>
      </c>
      <c r="U15" s="162">
        <v>0</v>
      </c>
      <c r="V15" s="162">
        <v>0</v>
      </c>
      <c r="W15" s="163">
        <v>0</v>
      </c>
      <c r="X15" s="162">
        <v>0</v>
      </c>
      <c r="Y15" s="163">
        <v>0</v>
      </c>
      <c r="Z15" s="162">
        <v>1249.5550000000001</v>
      </c>
      <c r="AA15" s="162">
        <v>739.28800000000001</v>
      </c>
      <c r="AB15" s="163">
        <v>0.69021409789999999</v>
      </c>
      <c r="AC15" s="162">
        <v>1249.5550000000001</v>
      </c>
      <c r="AD15" s="162">
        <v>739.28800000000001</v>
      </c>
      <c r="AE15" s="163">
        <v>0.69021409789999999</v>
      </c>
      <c r="AF15" s="162">
        <v>23862.258000000002</v>
      </c>
      <c r="AG15" s="163">
        <v>0.40851107609999998</v>
      </c>
    </row>
    <row r="16" spans="1:33">
      <c r="A16" s="127" t="s">
        <v>5</v>
      </c>
      <c r="B16" s="162">
        <v>0</v>
      </c>
      <c r="C16" s="162">
        <v>0</v>
      </c>
      <c r="D16" s="163">
        <v>0</v>
      </c>
      <c r="E16" s="162">
        <v>0</v>
      </c>
      <c r="F16" s="162">
        <v>0</v>
      </c>
      <c r="G16" s="163">
        <v>0</v>
      </c>
      <c r="H16" s="162">
        <v>0</v>
      </c>
      <c r="I16" s="163">
        <v>0</v>
      </c>
      <c r="J16" s="162">
        <v>0</v>
      </c>
      <c r="K16" s="162">
        <v>0</v>
      </c>
      <c r="L16" s="163">
        <v>0</v>
      </c>
      <c r="M16" s="162">
        <v>0</v>
      </c>
      <c r="N16" s="162">
        <v>0</v>
      </c>
      <c r="O16" s="163">
        <v>0</v>
      </c>
      <c r="P16" s="162">
        <v>0</v>
      </c>
      <c r="Q16" s="163">
        <v>0</v>
      </c>
      <c r="R16" s="162">
        <v>0</v>
      </c>
      <c r="S16" s="162">
        <v>0</v>
      </c>
      <c r="T16" s="163">
        <v>0</v>
      </c>
      <c r="U16" s="162">
        <v>0</v>
      </c>
      <c r="V16" s="162">
        <v>0</v>
      </c>
      <c r="W16" s="163">
        <v>0</v>
      </c>
      <c r="X16" s="162">
        <v>0</v>
      </c>
      <c r="Y16" s="163">
        <v>-1</v>
      </c>
      <c r="Z16" s="162">
        <v>94728.305999999997</v>
      </c>
      <c r="AA16" s="162">
        <v>53153.264999999999</v>
      </c>
      <c r="AB16" s="163">
        <v>0.78217285430000005</v>
      </c>
      <c r="AC16" s="162">
        <v>94728.305999999997</v>
      </c>
      <c r="AD16" s="162">
        <v>53153.264999999999</v>
      </c>
      <c r="AE16" s="163">
        <v>0.78217285430000005</v>
      </c>
      <c r="AF16" s="162">
        <v>1450317.287</v>
      </c>
      <c r="AG16" s="163">
        <v>0.16219982350000001</v>
      </c>
    </row>
    <row r="17" spans="1:33">
      <c r="A17" s="127" t="s">
        <v>4</v>
      </c>
      <c r="B17" s="162">
        <v>0</v>
      </c>
      <c r="C17" s="162">
        <v>0</v>
      </c>
      <c r="D17" s="163">
        <v>0</v>
      </c>
      <c r="E17" s="162">
        <v>0</v>
      </c>
      <c r="F17" s="162">
        <v>0</v>
      </c>
      <c r="G17" s="163">
        <v>0</v>
      </c>
      <c r="H17" s="162">
        <v>0.112</v>
      </c>
      <c r="I17" s="163">
        <v>-0.5274261603</v>
      </c>
      <c r="J17" s="162">
        <v>3.48</v>
      </c>
      <c r="K17" s="162">
        <v>3.492</v>
      </c>
      <c r="L17" s="163">
        <v>-3.4364260999999998E-3</v>
      </c>
      <c r="M17" s="162">
        <v>3.48</v>
      </c>
      <c r="N17" s="162">
        <v>3.492</v>
      </c>
      <c r="O17" s="163">
        <v>-3.4364260999999998E-3</v>
      </c>
      <c r="P17" s="162">
        <v>69.483000000000004</v>
      </c>
      <c r="Q17" s="163">
        <v>-8.1835720700000003E-2</v>
      </c>
      <c r="R17" s="162">
        <v>27699.960999999999</v>
      </c>
      <c r="S17" s="162">
        <v>24205.652999999998</v>
      </c>
      <c r="T17" s="163">
        <v>0.14435917100000001</v>
      </c>
      <c r="U17" s="162">
        <v>27699.960999999999</v>
      </c>
      <c r="V17" s="162">
        <v>24205.652999999998</v>
      </c>
      <c r="W17" s="163">
        <v>0.14435917100000001</v>
      </c>
      <c r="X17" s="162">
        <v>510441.326</v>
      </c>
      <c r="Y17" s="163">
        <v>0.28860310659999999</v>
      </c>
      <c r="Z17" s="162">
        <v>32038.107</v>
      </c>
      <c r="AA17" s="162">
        <v>24766.018</v>
      </c>
      <c r="AB17" s="163">
        <v>0.2936317417</v>
      </c>
      <c r="AC17" s="162">
        <v>32038.107</v>
      </c>
      <c r="AD17" s="162">
        <v>24766.018</v>
      </c>
      <c r="AE17" s="163">
        <v>0.2936317417</v>
      </c>
      <c r="AF17" s="162">
        <v>411824.467</v>
      </c>
      <c r="AG17" s="163">
        <v>0.1792414437</v>
      </c>
    </row>
    <row r="18" spans="1:33">
      <c r="A18" s="127" t="s">
        <v>22</v>
      </c>
      <c r="B18" s="162">
        <v>0</v>
      </c>
      <c r="C18" s="162">
        <v>0</v>
      </c>
      <c r="D18" s="163">
        <v>0</v>
      </c>
      <c r="E18" s="162">
        <v>0</v>
      </c>
      <c r="F18" s="162">
        <v>0</v>
      </c>
      <c r="G18" s="163">
        <v>0</v>
      </c>
      <c r="H18" s="162">
        <v>0</v>
      </c>
      <c r="I18" s="163">
        <v>0</v>
      </c>
      <c r="J18" s="162">
        <v>0</v>
      </c>
      <c r="K18" s="162">
        <v>0</v>
      </c>
      <c r="L18" s="163">
        <v>0</v>
      </c>
      <c r="M18" s="162">
        <v>0</v>
      </c>
      <c r="N18" s="162">
        <v>0</v>
      </c>
      <c r="O18" s="163">
        <v>0</v>
      </c>
      <c r="P18" s="162">
        <v>0</v>
      </c>
      <c r="Q18" s="163">
        <v>0</v>
      </c>
      <c r="R18" s="162">
        <v>256.185</v>
      </c>
      <c r="S18" s="162">
        <v>104.23</v>
      </c>
      <c r="T18" s="163">
        <v>1.4578816080000001</v>
      </c>
      <c r="U18" s="162">
        <v>256.185</v>
      </c>
      <c r="V18" s="162">
        <v>104.23</v>
      </c>
      <c r="W18" s="163">
        <v>1.4578816080000001</v>
      </c>
      <c r="X18" s="162">
        <v>2159.8580000000002</v>
      </c>
      <c r="Y18" s="163">
        <v>0.3750050929</v>
      </c>
      <c r="Z18" s="162">
        <v>1127.931</v>
      </c>
      <c r="AA18" s="162">
        <v>500.13400000000001</v>
      </c>
      <c r="AB18" s="163">
        <v>1.2552575909999999</v>
      </c>
      <c r="AC18" s="162">
        <v>1127.931</v>
      </c>
      <c r="AD18" s="162">
        <v>500.13400000000001</v>
      </c>
      <c r="AE18" s="163">
        <v>1.2552575909999999</v>
      </c>
      <c r="AF18" s="162">
        <v>9872.3510000000006</v>
      </c>
      <c r="AG18" s="163">
        <v>0.47702147779999998</v>
      </c>
    </row>
    <row r="19" spans="1:33">
      <c r="A19" s="127" t="s">
        <v>23</v>
      </c>
      <c r="B19" s="162">
        <v>0</v>
      </c>
      <c r="C19" s="162">
        <v>0</v>
      </c>
      <c r="D19" s="163">
        <v>0</v>
      </c>
      <c r="E19" s="162">
        <v>0</v>
      </c>
      <c r="F19" s="162">
        <v>0</v>
      </c>
      <c r="G19" s="163">
        <v>0</v>
      </c>
      <c r="H19" s="162">
        <v>0</v>
      </c>
      <c r="I19" s="163">
        <v>0</v>
      </c>
      <c r="J19" s="162">
        <v>0</v>
      </c>
      <c r="K19" s="162">
        <v>0</v>
      </c>
      <c r="L19" s="163">
        <v>0</v>
      </c>
      <c r="M19" s="162">
        <v>0</v>
      </c>
      <c r="N19" s="162">
        <v>0</v>
      </c>
      <c r="O19" s="163">
        <v>0</v>
      </c>
      <c r="P19" s="162">
        <v>0</v>
      </c>
      <c r="Q19" s="163">
        <v>0</v>
      </c>
      <c r="R19" s="162">
        <v>3686.3090000000002</v>
      </c>
      <c r="S19" s="162">
        <v>3937.018</v>
      </c>
      <c r="T19" s="163">
        <v>-6.3679922200000003E-2</v>
      </c>
      <c r="U19" s="162">
        <v>3686.3090000000002</v>
      </c>
      <c r="V19" s="162">
        <v>3937.018</v>
      </c>
      <c r="W19" s="163">
        <v>-6.3679922200000003E-2</v>
      </c>
      <c r="X19" s="162">
        <v>36433.296000000002</v>
      </c>
      <c r="Y19" s="163">
        <v>-3.8881013700000001E-2</v>
      </c>
      <c r="Z19" s="162">
        <v>0</v>
      </c>
      <c r="AA19" s="162">
        <v>0</v>
      </c>
      <c r="AB19" s="163">
        <v>0</v>
      </c>
      <c r="AC19" s="162">
        <v>0</v>
      </c>
      <c r="AD19" s="162">
        <v>0</v>
      </c>
      <c r="AE19" s="163">
        <v>0</v>
      </c>
      <c r="AF19" s="162">
        <v>0</v>
      </c>
      <c r="AG19" s="163">
        <v>0</v>
      </c>
    </row>
    <row r="20" spans="1:33">
      <c r="A20" s="127" t="s">
        <v>46</v>
      </c>
      <c r="B20" s="162">
        <v>0</v>
      </c>
      <c r="C20" s="162">
        <v>0</v>
      </c>
      <c r="D20" s="163">
        <v>0</v>
      </c>
      <c r="E20" s="162">
        <v>0</v>
      </c>
      <c r="F20" s="162">
        <v>0</v>
      </c>
      <c r="G20" s="163">
        <v>0</v>
      </c>
      <c r="H20" s="162">
        <v>0</v>
      </c>
      <c r="I20" s="163">
        <v>0</v>
      </c>
      <c r="J20" s="162">
        <v>593.255</v>
      </c>
      <c r="K20" s="162">
        <v>625.11249999999995</v>
      </c>
      <c r="L20" s="163">
        <v>-5.0962826699999998E-2</v>
      </c>
      <c r="M20" s="162">
        <v>593.255</v>
      </c>
      <c r="N20" s="162">
        <v>625.11249999999995</v>
      </c>
      <c r="O20" s="163">
        <v>-5.0962826699999998E-2</v>
      </c>
      <c r="P20" s="162">
        <v>5657.5450000000001</v>
      </c>
      <c r="Q20" s="163">
        <v>1.4783615999999999E-2</v>
      </c>
      <c r="R20" s="162">
        <v>10134.332</v>
      </c>
      <c r="S20" s="162">
        <v>10485.035</v>
      </c>
      <c r="T20" s="163">
        <v>-3.3447957E-2</v>
      </c>
      <c r="U20" s="162">
        <v>10134.332</v>
      </c>
      <c r="V20" s="162">
        <v>10485.035</v>
      </c>
      <c r="W20" s="163">
        <v>-3.3447957E-2</v>
      </c>
      <c r="X20" s="162">
        <v>145273.19399999999</v>
      </c>
      <c r="Y20" s="163">
        <v>6.6161025700000001E-2</v>
      </c>
      <c r="Z20" s="162">
        <v>0</v>
      </c>
      <c r="AA20" s="162">
        <v>0</v>
      </c>
      <c r="AB20" s="163">
        <v>0</v>
      </c>
      <c r="AC20" s="162">
        <v>0</v>
      </c>
      <c r="AD20" s="162">
        <v>0</v>
      </c>
      <c r="AE20" s="163">
        <v>0</v>
      </c>
      <c r="AF20" s="162">
        <v>0</v>
      </c>
      <c r="AG20" s="163">
        <v>0</v>
      </c>
    </row>
    <row r="21" spans="1:33">
      <c r="A21" s="127" t="s">
        <v>47</v>
      </c>
      <c r="B21" s="162">
        <v>0</v>
      </c>
      <c r="C21" s="162">
        <v>0</v>
      </c>
      <c r="D21" s="163">
        <v>0</v>
      </c>
      <c r="E21" s="162">
        <v>0</v>
      </c>
      <c r="F21" s="162">
        <v>0</v>
      </c>
      <c r="G21" s="163">
        <v>0</v>
      </c>
      <c r="H21" s="162">
        <v>0</v>
      </c>
      <c r="I21" s="163">
        <v>0</v>
      </c>
      <c r="J21" s="162">
        <v>593.255</v>
      </c>
      <c r="K21" s="162">
        <v>625.11249999999995</v>
      </c>
      <c r="L21" s="163">
        <v>-5.0962826699999998E-2</v>
      </c>
      <c r="M21" s="162">
        <v>593.255</v>
      </c>
      <c r="N21" s="162">
        <v>625.11249999999995</v>
      </c>
      <c r="O21" s="163">
        <v>-5.0962826699999998E-2</v>
      </c>
      <c r="P21" s="162">
        <v>5657.5450000000001</v>
      </c>
      <c r="Q21" s="163">
        <v>1.4783615999999999E-2</v>
      </c>
      <c r="R21" s="162">
        <v>10134.332</v>
      </c>
      <c r="S21" s="162">
        <v>10485.035</v>
      </c>
      <c r="T21" s="163">
        <v>-3.3447957E-2</v>
      </c>
      <c r="U21" s="162">
        <v>10134.332</v>
      </c>
      <c r="V21" s="162">
        <v>10485.035</v>
      </c>
      <c r="W21" s="163">
        <v>-3.3447957E-2</v>
      </c>
      <c r="X21" s="162">
        <v>145273.19399999999</v>
      </c>
      <c r="Y21" s="163">
        <v>6.6161025700000001E-2</v>
      </c>
      <c r="Z21" s="162">
        <v>0</v>
      </c>
      <c r="AA21" s="162">
        <v>0</v>
      </c>
      <c r="AB21" s="163">
        <v>0</v>
      </c>
      <c r="AC21" s="162">
        <v>0</v>
      </c>
      <c r="AD21" s="162">
        <v>0</v>
      </c>
      <c r="AE21" s="163">
        <v>0</v>
      </c>
      <c r="AF21" s="162">
        <v>0</v>
      </c>
      <c r="AG21" s="163">
        <v>0</v>
      </c>
    </row>
    <row r="22" spans="1:33">
      <c r="A22" s="131" t="s">
        <v>2</v>
      </c>
      <c r="B22" s="164">
        <v>17093.042000000001</v>
      </c>
      <c r="C22" s="164">
        <v>15948.752</v>
      </c>
      <c r="D22" s="165">
        <v>7.1747933599999994E-2</v>
      </c>
      <c r="E22" s="164">
        <v>17093.042000000001</v>
      </c>
      <c r="F22" s="164">
        <v>15948.752</v>
      </c>
      <c r="G22" s="165">
        <v>7.1747933599999994E-2</v>
      </c>
      <c r="H22" s="164">
        <v>187659.454</v>
      </c>
      <c r="I22" s="165">
        <v>1.1442767899999999E-2</v>
      </c>
      <c r="J22" s="164">
        <v>18605.823</v>
      </c>
      <c r="K22" s="164">
        <v>16549.522000000001</v>
      </c>
      <c r="L22" s="165">
        <v>0.1242513832</v>
      </c>
      <c r="M22" s="164">
        <v>18605.823</v>
      </c>
      <c r="N22" s="164">
        <v>16549.522000000001</v>
      </c>
      <c r="O22" s="165">
        <v>0.1242513832</v>
      </c>
      <c r="P22" s="164">
        <v>205072.10200000001</v>
      </c>
      <c r="Q22" s="165">
        <v>1.3505500700000001E-2</v>
      </c>
      <c r="R22" s="164">
        <v>373718.85399999999</v>
      </c>
      <c r="S22" s="164">
        <v>326574.63199999998</v>
      </c>
      <c r="T22" s="165">
        <v>0.1443597187</v>
      </c>
      <c r="U22" s="164">
        <v>373718.85399999999</v>
      </c>
      <c r="V22" s="164">
        <v>326574.63199999998</v>
      </c>
      <c r="W22" s="165">
        <v>0.1443597187</v>
      </c>
      <c r="X22" s="164">
        <v>4530572.1279999996</v>
      </c>
      <c r="Y22" s="165">
        <v>-1.8847833200000001E-2</v>
      </c>
      <c r="Z22" s="164">
        <v>756354.39199999999</v>
      </c>
      <c r="AA22" s="164">
        <v>749003.701</v>
      </c>
      <c r="AB22" s="165">
        <v>9.8139582000000003E-3</v>
      </c>
      <c r="AC22" s="164">
        <v>756354.39199999999</v>
      </c>
      <c r="AD22" s="164">
        <v>749003.701</v>
      </c>
      <c r="AE22" s="165">
        <v>9.8139582000000003E-3</v>
      </c>
      <c r="AF22" s="164">
        <v>8903258.7880000006</v>
      </c>
      <c r="AG22" s="165">
        <v>3.3361574999999999E-3</v>
      </c>
    </row>
    <row r="23" spans="1:33">
      <c r="A23" s="127" t="s">
        <v>111</v>
      </c>
      <c r="B23" s="162">
        <v>0</v>
      </c>
      <c r="C23" s="162">
        <v>0</v>
      </c>
      <c r="D23" s="163">
        <v>0</v>
      </c>
      <c r="E23" s="162">
        <v>0</v>
      </c>
      <c r="F23" s="162">
        <v>0</v>
      </c>
      <c r="G23" s="163">
        <v>0</v>
      </c>
      <c r="H23" s="162">
        <v>0</v>
      </c>
      <c r="I23" s="163">
        <v>0</v>
      </c>
      <c r="J23" s="162">
        <v>0</v>
      </c>
      <c r="K23" s="162">
        <v>0</v>
      </c>
      <c r="L23" s="163">
        <v>0</v>
      </c>
      <c r="M23" s="162">
        <v>0</v>
      </c>
      <c r="N23" s="162">
        <v>0</v>
      </c>
      <c r="O23" s="163">
        <v>0</v>
      </c>
      <c r="P23" s="162">
        <v>0</v>
      </c>
      <c r="Q23" s="163">
        <v>0</v>
      </c>
      <c r="R23" s="162">
        <v>5.3209999999999997</v>
      </c>
      <c r="S23" s="162">
        <v>2.9220000000000002</v>
      </c>
      <c r="T23" s="163">
        <v>0.82101300479999995</v>
      </c>
      <c r="U23" s="162">
        <v>5.3209999999999997</v>
      </c>
      <c r="V23" s="162">
        <v>2.9220000000000002</v>
      </c>
      <c r="W23" s="163">
        <v>0.82101300479999995</v>
      </c>
      <c r="X23" s="162">
        <v>145.69800000000001</v>
      </c>
      <c r="Y23" s="163">
        <v>43.0308250227</v>
      </c>
      <c r="Z23" s="162">
        <v>0</v>
      </c>
      <c r="AA23" s="162">
        <v>0</v>
      </c>
      <c r="AB23" s="163">
        <v>0</v>
      </c>
      <c r="AC23" s="162">
        <v>0</v>
      </c>
      <c r="AD23" s="162">
        <v>0</v>
      </c>
      <c r="AE23" s="163">
        <v>0</v>
      </c>
      <c r="AF23" s="162">
        <v>0</v>
      </c>
      <c r="AG23" s="163">
        <v>0</v>
      </c>
    </row>
    <row r="24" spans="1:33">
      <c r="A24" s="127" t="s">
        <v>112</v>
      </c>
      <c r="B24" s="162">
        <v>0</v>
      </c>
      <c r="C24" s="162">
        <v>0</v>
      </c>
      <c r="D24" s="163">
        <v>0</v>
      </c>
      <c r="E24" s="162">
        <v>0</v>
      </c>
      <c r="F24" s="162">
        <v>0</v>
      </c>
      <c r="G24" s="163">
        <v>0</v>
      </c>
      <c r="H24" s="162">
        <v>0</v>
      </c>
      <c r="I24" s="163">
        <v>0</v>
      </c>
      <c r="J24" s="162">
        <v>0</v>
      </c>
      <c r="K24" s="162">
        <v>0</v>
      </c>
      <c r="L24" s="163">
        <v>0</v>
      </c>
      <c r="M24" s="162">
        <v>0</v>
      </c>
      <c r="N24" s="162">
        <v>0</v>
      </c>
      <c r="O24" s="163">
        <v>0</v>
      </c>
      <c r="P24" s="162">
        <v>0</v>
      </c>
      <c r="Q24" s="163">
        <v>0</v>
      </c>
      <c r="R24" s="162">
        <v>-20.024000000000001</v>
      </c>
      <c r="S24" s="162">
        <v>-22.768000000000001</v>
      </c>
      <c r="T24" s="163">
        <v>-0.1205200281</v>
      </c>
      <c r="U24" s="162">
        <v>-20.024000000000001</v>
      </c>
      <c r="V24" s="162">
        <v>-22.768000000000001</v>
      </c>
      <c r="W24" s="163">
        <v>-0.1205200281</v>
      </c>
      <c r="X24" s="162">
        <v>-418.43400000000003</v>
      </c>
      <c r="Y24" s="163">
        <v>7.1076148032999997</v>
      </c>
      <c r="Z24" s="162">
        <v>0</v>
      </c>
      <c r="AA24" s="162">
        <v>0</v>
      </c>
      <c r="AB24" s="163">
        <v>0</v>
      </c>
      <c r="AC24" s="162">
        <v>0</v>
      </c>
      <c r="AD24" s="162">
        <v>0</v>
      </c>
      <c r="AE24" s="163">
        <v>0</v>
      </c>
      <c r="AF24" s="162">
        <v>0</v>
      </c>
      <c r="AG24" s="163">
        <v>0</v>
      </c>
    </row>
    <row r="25" spans="1:33">
      <c r="A25" s="127" t="s">
        <v>21</v>
      </c>
      <c r="B25" s="162">
        <v>0</v>
      </c>
      <c r="C25" s="162">
        <v>0</v>
      </c>
      <c r="D25" s="163">
        <v>0</v>
      </c>
      <c r="E25" s="162">
        <v>0</v>
      </c>
      <c r="F25" s="162">
        <v>0</v>
      </c>
      <c r="G25" s="163">
        <v>0</v>
      </c>
      <c r="H25" s="162">
        <v>0</v>
      </c>
      <c r="I25" s="163">
        <v>0</v>
      </c>
      <c r="J25" s="162">
        <v>0</v>
      </c>
      <c r="K25" s="162">
        <v>0</v>
      </c>
      <c r="L25" s="163">
        <v>0</v>
      </c>
      <c r="M25" s="162">
        <v>0</v>
      </c>
      <c r="N25" s="162">
        <v>0</v>
      </c>
      <c r="O25" s="163">
        <v>0</v>
      </c>
      <c r="P25" s="162">
        <v>0</v>
      </c>
      <c r="Q25" s="163">
        <v>0</v>
      </c>
      <c r="R25" s="162">
        <v>85443.509000000005</v>
      </c>
      <c r="S25" s="162">
        <v>122760.274</v>
      </c>
      <c r="T25" s="163">
        <v>-0.30398078940000001</v>
      </c>
      <c r="U25" s="162">
        <v>85443.509000000005</v>
      </c>
      <c r="V25" s="162">
        <v>122760.274</v>
      </c>
      <c r="W25" s="163">
        <v>-0.30398078940000001</v>
      </c>
      <c r="X25" s="162">
        <v>1542491.1189999999</v>
      </c>
      <c r="Y25" s="163">
        <v>8.2548611399999999E-2</v>
      </c>
      <c r="Z25" s="162">
        <v>0</v>
      </c>
      <c r="AA25" s="162">
        <v>0</v>
      </c>
      <c r="AB25" s="163">
        <v>0</v>
      </c>
      <c r="AC25" s="162">
        <v>0</v>
      </c>
      <c r="AD25" s="162">
        <v>0</v>
      </c>
      <c r="AE25" s="163">
        <v>0</v>
      </c>
      <c r="AF25" s="162">
        <v>0</v>
      </c>
      <c r="AG25" s="163">
        <v>0</v>
      </c>
    </row>
    <row r="26" spans="1:33">
      <c r="A26" s="131" t="s">
        <v>71</v>
      </c>
      <c r="B26" s="164">
        <v>17093.042000000001</v>
      </c>
      <c r="C26" s="164">
        <v>15948.752</v>
      </c>
      <c r="D26" s="165">
        <v>7.1747933599999994E-2</v>
      </c>
      <c r="E26" s="164">
        <v>17093.042000000001</v>
      </c>
      <c r="F26" s="164">
        <v>15948.752</v>
      </c>
      <c r="G26" s="165">
        <v>7.1747933599999994E-2</v>
      </c>
      <c r="H26" s="164">
        <v>187659.454</v>
      </c>
      <c r="I26" s="165">
        <v>1.1442767899999999E-2</v>
      </c>
      <c r="J26" s="164">
        <v>18605.823</v>
      </c>
      <c r="K26" s="164">
        <v>16549.522000000001</v>
      </c>
      <c r="L26" s="165">
        <v>0.1242513832</v>
      </c>
      <c r="M26" s="164">
        <v>18605.823</v>
      </c>
      <c r="N26" s="164">
        <v>16549.522000000001</v>
      </c>
      <c r="O26" s="165">
        <v>0.1242513832</v>
      </c>
      <c r="P26" s="164">
        <v>205072.10200000001</v>
      </c>
      <c r="Q26" s="165">
        <v>1.3505500700000001E-2</v>
      </c>
      <c r="R26" s="164">
        <v>459147.66</v>
      </c>
      <c r="S26" s="164">
        <v>449315.06</v>
      </c>
      <c r="T26" s="165">
        <v>2.18835309E-2</v>
      </c>
      <c r="U26" s="164">
        <v>459147.66</v>
      </c>
      <c r="V26" s="164">
        <v>449315.06</v>
      </c>
      <c r="W26" s="165">
        <v>2.18835309E-2</v>
      </c>
      <c r="X26" s="164">
        <v>6072790.5109999999</v>
      </c>
      <c r="Y26" s="165">
        <v>5.0252635999999996E-3</v>
      </c>
      <c r="Z26" s="164">
        <v>756354.39199999999</v>
      </c>
      <c r="AA26" s="164">
        <v>749003.701</v>
      </c>
      <c r="AB26" s="165">
        <v>9.8139582000000003E-3</v>
      </c>
      <c r="AC26" s="164">
        <v>756354.39199999999</v>
      </c>
      <c r="AD26" s="164">
        <v>749003.701</v>
      </c>
      <c r="AE26" s="165">
        <v>9.8139582000000003E-3</v>
      </c>
      <c r="AF26" s="164">
        <v>8903258.7880000006</v>
      </c>
      <c r="AG26" s="165">
        <v>3.3361574999999999E-3</v>
      </c>
    </row>
    <row r="27" spans="1:33">
      <c r="A27" s="99" t="s">
        <v>94</v>
      </c>
      <c r="B27" s="155">
        <f>SUM(B26,J26,R26,Z26)</f>
        <v>1251200.9169999999</v>
      </c>
      <c r="C27" s="155">
        <f>SUM(C26,K26,S26,AA26)</f>
        <v>1230817.0349999999</v>
      </c>
      <c r="D27" s="156">
        <f>((B27/C27)-1)*100</f>
        <v>1.6561260870101568</v>
      </c>
      <c r="R27" s="188">
        <f>R25/R26</f>
        <v>0.1860915701933448</v>
      </c>
      <c r="S27" s="188">
        <f>S25/S26</f>
        <v>0.27321646864006743</v>
      </c>
    </row>
    <row r="29" spans="1:33" ht="15">
      <c r="A29" s="128" t="s">
        <v>59</v>
      </c>
      <c r="B29" s="203" t="str">
        <f>A2</f>
        <v>Enero 2025</v>
      </c>
      <c r="C29" s="204"/>
    </row>
    <row r="30" spans="1:33" ht="15">
      <c r="A30" s="128" t="s">
        <v>61</v>
      </c>
      <c r="B30" s="217" t="s">
        <v>64</v>
      </c>
      <c r="C30" s="218"/>
    </row>
    <row r="31" spans="1:33">
      <c r="A31" s="126" t="s">
        <v>60</v>
      </c>
      <c r="B31" s="154" t="s">
        <v>49</v>
      </c>
      <c r="C31" s="154" t="s">
        <v>50</v>
      </c>
    </row>
    <row r="32" spans="1:33">
      <c r="A32" s="128" t="s">
        <v>62</v>
      </c>
      <c r="B32" s="129"/>
      <c r="C32" s="129"/>
    </row>
    <row r="33" spans="1:4">
      <c r="A33" s="127" t="s">
        <v>12</v>
      </c>
      <c r="B33" s="169"/>
      <c r="C33" s="169">
        <v>1.52</v>
      </c>
    </row>
    <row r="34" spans="1:4">
      <c r="A34" s="127" t="s">
        <v>11</v>
      </c>
      <c r="B34" s="169">
        <v>241.2</v>
      </c>
      <c r="C34" s="169"/>
    </row>
    <row r="35" spans="1:4">
      <c r="A35" s="127" t="s">
        <v>70</v>
      </c>
      <c r="B35" s="169">
        <v>139.4</v>
      </c>
      <c r="C35" s="169">
        <v>487.64</v>
      </c>
    </row>
    <row r="36" spans="1:4">
      <c r="A36" s="127" t="s">
        <v>9</v>
      </c>
      <c r="B36" s="169">
        <v>603.1</v>
      </c>
      <c r="C36" s="169">
        <v>520.75</v>
      </c>
    </row>
    <row r="37" spans="1:4">
      <c r="A37" s="127" t="s">
        <v>8</v>
      </c>
      <c r="B37" s="169"/>
      <c r="C37" s="169">
        <v>482.64</v>
      </c>
    </row>
    <row r="38" spans="1:4">
      <c r="A38" s="127" t="s">
        <v>25</v>
      </c>
      <c r="B38" s="169">
        <v>822.9</v>
      </c>
      <c r="C38" s="169">
        <v>865.4</v>
      </c>
    </row>
    <row r="39" spans="1:4">
      <c r="A39" s="127" t="s">
        <v>24</v>
      </c>
      <c r="B39" s="169"/>
      <c r="C39" s="169"/>
    </row>
    <row r="40" spans="1:4">
      <c r="A40" s="127" t="s">
        <v>6</v>
      </c>
      <c r="B40" s="169"/>
      <c r="C40" s="169">
        <v>11.32</v>
      </c>
    </row>
    <row r="41" spans="1:4">
      <c r="A41" s="127" t="s">
        <v>5</v>
      </c>
      <c r="B41" s="169">
        <v>3.5575000000000001</v>
      </c>
      <c r="C41" s="169">
        <v>648.11</v>
      </c>
      <c r="D41" s="160"/>
    </row>
    <row r="42" spans="1:4">
      <c r="A42" s="127" t="s">
        <v>4</v>
      </c>
      <c r="B42" s="169">
        <v>336.82939499999998</v>
      </c>
      <c r="C42" s="169">
        <v>293.89804500000002</v>
      </c>
      <c r="D42" s="160"/>
    </row>
    <row r="43" spans="1:4">
      <c r="A43" s="127" t="s">
        <v>22</v>
      </c>
      <c r="B43" s="169">
        <v>3.9319999999999999</v>
      </c>
      <c r="C43" s="169">
        <v>8.8059999999999992</v>
      </c>
    </row>
    <row r="44" spans="1:4">
      <c r="A44" s="127" t="s">
        <v>23</v>
      </c>
      <c r="B44" s="169">
        <v>11.523</v>
      </c>
      <c r="C44" s="169">
        <v>38.200000000000003</v>
      </c>
    </row>
    <row r="45" spans="1:4">
      <c r="A45" s="127" t="s">
        <v>46</v>
      </c>
      <c r="B45" s="169">
        <v>37.4</v>
      </c>
      <c r="C45" s="169"/>
    </row>
    <row r="46" spans="1:4">
      <c r="A46" s="127" t="s">
        <v>47</v>
      </c>
      <c r="B46" s="169">
        <v>37.4</v>
      </c>
      <c r="C46" s="169"/>
    </row>
    <row r="47" spans="1:4">
      <c r="A47" s="131" t="s">
        <v>2</v>
      </c>
      <c r="B47" s="170">
        <f>SUM(B33:B46)</f>
        <v>2237.2418950000001</v>
      </c>
      <c r="C47" s="170">
        <f>SUM(C33:C46)</f>
        <v>3358.2840449999999</v>
      </c>
    </row>
    <row r="48" spans="1:4" ht="15">
      <c r="A48"/>
      <c r="B48" s="161"/>
      <c r="C48" s="171"/>
      <c r="D48" s="159"/>
    </row>
    <row r="49" spans="1:8" ht="15">
      <c r="A49"/>
      <c r="B49"/>
      <c r="C49"/>
    </row>
    <row r="50" spans="1:8">
      <c r="A50" s="97" t="s">
        <v>28</v>
      </c>
      <c r="B50" s="98"/>
      <c r="C50" s="98"/>
      <c r="F50" s="97" t="s">
        <v>29</v>
      </c>
      <c r="G50" s="98"/>
      <c r="H50" s="98"/>
    </row>
    <row r="51" spans="1:8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</row>
    <row r="52" spans="1:8">
      <c r="A52" s="102" t="s">
        <v>11</v>
      </c>
      <c r="B52" s="103">
        <f>B34</f>
        <v>241.2</v>
      </c>
      <c r="C52" s="104">
        <f t="shared" ref="C52:C57" si="0">B52/$B$63*100</f>
        <v>10.781131916895379</v>
      </c>
      <c r="D52" s="158"/>
      <c r="F52" s="102" t="s">
        <v>10</v>
      </c>
      <c r="G52" s="103">
        <f>C35</f>
        <v>487.64</v>
      </c>
      <c r="H52" s="104">
        <f>G52/$G$62*100</f>
        <v>14.520510875964336</v>
      </c>
    </row>
    <row r="53" spans="1:8">
      <c r="A53" s="102" t="s">
        <v>10</v>
      </c>
      <c r="B53" s="103">
        <f t="shared" ref="B53:B54" si="1">B35</f>
        <v>139.4</v>
      </c>
      <c r="C53" s="104">
        <f t="shared" si="0"/>
        <v>6.2308863566136656</v>
      </c>
      <c r="D53" s="158"/>
      <c r="F53" s="102" t="s">
        <v>9</v>
      </c>
      <c r="G53" s="103">
        <f>C36</f>
        <v>520.75</v>
      </c>
      <c r="H53" s="104">
        <f t="shared" ref="H53:H61" si="2">G53/$G$62*100</f>
        <v>15.506431052945672</v>
      </c>
    </row>
    <row r="54" spans="1:8">
      <c r="A54" s="102" t="s">
        <v>9</v>
      </c>
      <c r="B54" s="103">
        <f t="shared" si="1"/>
        <v>603.1</v>
      </c>
      <c r="C54" s="104">
        <f t="shared" si="0"/>
        <v>26.957299581590398</v>
      </c>
      <c r="D54" s="158"/>
      <c r="F54" s="102" t="s">
        <v>8</v>
      </c>
      <c r="G54" s="103">
        <f>C37</f>
        <v>482.64</v>
      </c>
      <c r="H54" s="104">
        <f t="shared" si="2"/>
        <v>14.371625316166488</v>
      </c>
    </row>
    <row r="55" spans="1:8">
      <c r="A55" s="102" t="s">
        <v>25</v>
      </c>
      <c r="B55" s="103">
        <f>B38</f>
        <v>822.9</v>
      </c>
      <c r="C55" s="104">
        <f t="shared" si="0"/>
        <v>36.781896577169185</v>
      </c>
      <c r="D55" s="158"/>
      <c r="F55" s="102" t="s">
        <v>25</v>
      </c>
      <c r="G55" s="103">
        <f>C38</f>
        <v>865.4</v>
      </c>
      <c r="H55" s="104">
        <f t="shared" si="2"/>
        <v>25.769112689811202</v>
      </c>
    </row>
    <row r="56" spans="1:8">
      <c r="A56" s="102" t="s">
        <v>24</v>
      </c>
      <c r="B56" s="103">
        <f>B39</f>
        <v>0</v>
      </c>
      <c r="C56" s="104">
        <f t="shared" si="0"/>
        <v>0</v>
      </c>
      <c r="D56" s="158"/>
      <c r="F56" s="102" t="s">
        <v>23</v>
      </c>
      <c r="G56" s="103">
        <f>C44</f>
        <v>38.200000000000003</v>
      </c>
      <c r="H56" s="104">
        <f t="shared" si="2"/>
        <v>1.1374856768555444</v>
      </c>
    </row>
    <row r="57" spans="1:8">
      <c r="A57" s="102" t="s">
        <v>23</v>
      </c>
      <c r="B57" s="103">
        <f>B44</f>
        <v>11.523</v>
      </c>
      <c r="C57" s="104">
        <f t="shared" si="0"/>
        <v>0.51505382702481528</v>
      </c>
      <c r="D57" s="158"/>
      <c r="F57" s="102" t="s">
        <v>12</v>
      </c>
      <c r="G57" s="104">
        <f>C33</f>
        <v>1.52</v>
      </c>
      <c r="H57" s="104">
        <f t="shared" si="2"/>
        <v>4.5261210178545216E-2</v>
      </c>
    </row>
    <row r="58" spans="1:8">
      <c r="A58" s="102" t="s">
        <v>47</v>
      </c>
      <c r="B58" s="103">
        <f>B46</f>
        <v>37.4</v>
      </c>
      <c r="C58" s="104">
        <f t="shared" ref="C58:C62" si="3">B58/$B$63*100</f>
        <v>1.6717012176280563</v>
      </c>
      <c r="D58" s="158"/>
      <c r="F58" s="102" t="s">
        <v>6</v>
      </c>
      <c r="G58" s="103">
        <f>C40</f>
        <v>11.32</v>
      </c>
      <c r="H58" s="104">
        <f t="shared" si="2"/>
        <v>0.3370769073823236</v>
      </c>
    </row>
    <row r="59" spans="1:8">
      <c r="A59" s="102" t="s">
        <v>46</v>
      </c>
      <c r="B59" s="103">
        <f>B45</f>
        <v>37.4</v>
      </c>
      <c r="C59" s="104">
        <f t="shared" si="3"/>
        <v>1.6717012176280563</v>
      </c>
      <c r="D59" s="158"/>
      <c r="F59" s="102" t="s">
        <v>5</v>
      </c>
      <c r="G59" s="103">
        <f>C41</f>
        <v>648.11</v>
      </c>
      <c r="H59" s="104">
        <f t="shared" si="2"/>
        <v>19.298844032116406</v>
      </c>
    </row>
    <row r="60" spans="1:8">
      <c r="A60" s="102" t="s">
        <v>5</v>
      </c>
      <c r="B60" s="103">
        <f>B41</f>
        <v>3.5575000000000001</v>
      </c>
      <c r="C60" s="104">
        <f t="shared" si="3"/>
        <v>0.15901275619550298</v>
      </c>
      <c r="D60" s="158"/>
      <c r="F60" s="102" t="s">
        <v>4</v>
      </c>
      <c r="G60" s="103">
        <f>C42</f>
        <v>293.89804500000002</v>
      </c>
      <c r="H60" s="104">
        <f t="shared" si="2"/>
        <v>8.7514349906635154</v>
      </c>
    </row>
    <row r="61" spans="1:8">
      <c r="A61" s="102" t="s">
        <v>4</v>
      </c>
      <c r="B61" s="103">
        <f>B42</f>
        <v>336.82939499999998</v>
      </c>
      <c r="C61" s="104">
        <f t="shared" si="3"/>
        <v>15.055564431936405</v>
      </c>
      <c r="D61" s="158"/>
      <c r="F61" s="102" t="s">
        <v>22</v>
      </c>
      <c r="G61" s="103">
        <f>C43</f>
        <v>8.8059999999999992</v>
      </c>
      <c r="H61" s="104">
        <f t="shared" si="2"/>
        <v>0.26221724791596651</v>
      </c>
    </row>
    <row r="62" spans="1:8">
      <c r="A62" s="102" t="s">
        <v>22</v>
      </c>
      <c r="B62" s="103">
        <f>B43</f>
        <v>3.9319999999999999</v>
      </c>
      <c r="C62" s="104">
        <f t="shared" si="3"/>
        <v>0.17575211731854329</v>
      </c>
      <c r="D62" s="158"/>
      <c r="F62" s="105" t="s">
        <v>20</v>
      </c>
      <c r="G62" s="106">
        <f>SUM(G52:G61)</f>
        <v>3358.2840449999999</v>
      </c>
      <c r="H62" s="107">
        <f>SUM(H52:H61)</f>
        <v>100.00000000000001</v>
      </c>
    </row>
    <row r="63" spans="1:8">
      <c r="A63" s="105" t="s">
        <v>20</v>
      </c>
      <c r="B63" s="106">
        <f>SUM(B52:B62)</f>
        <v>2237.2418949999997</v>
      </c>
      <c r="C63" s="107">
        <f>SUM(C52:C62)</f>
        <v>100</v>
      </c>
    </row>
    <row r="66" spans="1:7">
      <c r="A66" s="97" t="s">
        <v>124</v>
      </c>
      <c r="B66" s="98"/>
      <c r="F66" s="97" t="s">
        <v>125</v>
      </c>
      <c r="G66" s="98"/>
    </row>
    <row r="67" spans="1:7">
      <c r="A67" s="100"/>
      <c r="B67" s="101" t="s">
        <v>127</v>
      </c>
      <c r="C67" s="101" t="s">
        <v>126</v>
      </c>
      <c r="D67" s="101" t="s">
        <v>95</v>
      </c>
      <c r="F67" s="100"/>
      <c r="G67" s="101" t="s">
        <v>26</v>
      </c>
    </row>
    <row r="68" spans="1:7">
      <c r="A68" s="102" t="s">
        <v>11</v>
      </c>
      <c r="B68" s="104">
        <f t="shared" ref="B68:B79" si="4">D68/$D$80*100</f>
        <v>1.0087865150219204</v>
      </c>
      <c r="C68" s="104">
        <f>(D68/SUM($D$68:$D$78))*100</f>
        <v>1.2394258278443719</v>
      </c>
      <c r="D68" s="103">
        <f>IF(R9&lt;0,0,R9)</f>
        <v>4631.9679999999998</v>
      </c>
      <c r="F68" s="102" t="s">
        <v>10</v>
      </c>
      <c r="G68" s="104">
        <f>SUM(Z10,Z14)/Z$22*100</f>
        <v>21.741961538051065</v>
      </c>
    </row>
    <row r="69" spans="1:7">
      <c r="A69" s="102" t="s">
        <v>10</v>
      </c>
      <c r="B69" s="104">
        <f t="shared" si="4"/>
        <v>1.8698154926953365</v>
      </c>
      <c r="C69" s="104">
        <f>(D69/SUM($D$68:$D$78))*100</f>
        <v>2.2973122463872264</v>
      </c>
      <c r="D69" s="103">
        <f>R10</f>
        <v>8585.4889999999996</v>
      </c>
      <c r="F69" s="102" t="s">
        <v>9</v>
      </c>
      <c r="G69" s="104">
        <f>Z11/Z$22*100</f>
        <v>4.8979336131097648</v>
      </c>
    </row>
    <row r="70" spans="1:7">
      <c r="A70" s="102" t="s">
        <v>9</v>
      </c>
      <c r="B70" s="104">
        <f t="shared" si="4"/>
        <v>5.1894070420575824</v>
      </c>
      <c r="C70" s="104">
        <f>(D70/SUM($D$68:$D$78))*100</f>
        <v>6.3758634987144642</v>
      </c>
      <c r="D70" s="103">
        <f>R11</f>
        <v>23827.804</v>
      </c>
      <c r="F70" s="102" t="s">
        <v>8</v>
      </c>
      <c r="G70" s="104">
        <f>Z12/Z$22*100</f>
        <v>10.956180446163126</v>
      </c>
    </row>
    <row r="71" spans="1:7">
      <c r="A71" s="102" t="s">
        <v>25</v>
      </c>
      <c r="B71" s="104">
        <f t="shared" si="4"/>
        <v>62.017816996032835</v>
      </c>
      <c r="C71" s="104">
        <f>(D71/SUM($D$68:$D$78))*100</f>
        <v>76.196978277151629</v>
      </c>
      <c r="D71" s="103">
        <f>R13</f>
        <v>284762.47399999999</v>
      </c>
      <c r="F71" s="102" t="s">
        <v>25</v>
      </c>
      <c r="G71" s="104">
        <f>Z13/Z$22*100</f>
        <v>45.291689401599982</v>
      </c>
    </row>
    <row r="72" spans="1:7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</row>
    <row r="73" spans="1:7">
      <c r="A73" s="102" t="s">
        <v>23</v>
      </c>
      <c r="B73" s="104">
        <f t="shared" si="4"/>
        <v>0.80283344129405476</v>
      </c>
      <c r="C73" s="104">
        <f t="shared" ref="C73:C78" si="5">(D73/SUM($D$68:$D$78))*100</f>
        <v>0.98638561061198171</v>
      </c>
      <c r="D73" s="103">
        <f>R19</f>
        <v>3686.3090000000002</v>
      </c>
      <c r="F73" s="102" t="s">
        <v>12</v>
      </c>
      <c r="G73" s="104">
        <f>Z8/Z$22*100</f>
        <v>3.7712744583361928E-2</v>
      </c>
    </row>
    <row r="74" spans="1:7">
      <c r="A74" s="102" t="s">
        <v>47</v>
      </c>
      <c r="B74" s="104">
        <f t="shared" si="4"/>
        <v>2.2071347341680965</v>
      </c>
      <c r="C74" s="104">
        <f t="shared" si="5"/>
        <v>2.711752937142422</v>
      </c>
      <c r="D74" s="103">
        <f>R21</f>
        <v>10134.332</v>
      </c>
      <c r="F74" s="102" t="s">
        <v>6</v>
      </c>
      <c r="G74" s="104">
        <f>Z15/Z$22*100</f>
        <v>0.16520760812875668</v>
      </c>
    </row>
    <row r="75" spans="1:7">
      <c r="A75" s="102" t="s">
        <v>46</v>
      </c>
      <c r="B75" s="104">
        <f t="shared" si="4"/>
        <v>2.2071347341680965</v>
      </c>
      <c r="C75" s="104">
        <f t="shared" si="5"/>
        <v>2.711752937142422</v>
      </c>
      <c r="D75" s="103">
        <f>R20</f>
        <v>10134.332</v>
      </c>
      <c r="F75" s="102" t="s">
        <v>5</v>
      </c>
      <c r="G75" s="104">
        <f>Z16/Z$22*100</f>
        <v>12.5243281458991</v>
      </c>
    </row>
    <row r="76" spans="1:7">
      <c r="A76" s="102" t="s">
        <v>5</v>
      </c>
      <c r="B76" s="104">
        <f t="shared" si="4"/>
        <v>0</v>
      </c>
      <c r="C76" s="104">
        <f t="shared" si="5"/>
        <v>0</v>
      </c>
      <c r="D76" s="103">
        <f>R16</f>
        <v>0</v>
      </c>
      <c r="F76" s="102" t="s">
        <v>4</v>
      </c>
      <c r="G76" s="104">
        <f>Z17/Z$22*100</f>
        <v>4.2358591870251212</v>
      </c>
    </row>
    <row r="77" spans="1:7">
      <c r="A77" s="102" t="s">
        <v>4</v>
      </c>
      <c r="B77" s="104">
        <f t="shared" si="4"/>
        <v>6.0327159262397991</v>
      </c>
      <c r="C77" s="104">
        <f t="shared" si="5"/>
        <v>7.411978470853386</v>
      </c>
      <c r="D77" s="103">
        <f>R17</f>
        <v>27699.960999999999</v>
      </c>
      <c r="F77" s="102" t="s">
        <v>22</v>
      </c>
      <c r="G77" s="104">
        <f>Z18/Z$22*100</f>
        <v>0.14912731543971783</v>
      </c>
    </row>
    <row r="78" spans="1:7">
      <c r="A78" s="102" t="s">
        <v>22</v>
      </c>
      <c r="B78" s="104">
        <f t="shared" si="4"/>
        <v>5.5793989369289837E-2</v>
      </c>
      <c r="C78" s="104">
        <f t="shared" si="5"/>
        <v>6.8550194152099161E-2</v>
      </c>
      <c r="D78" s="103">
        <f>R18</f>
        <v>256.185</v>
      </c>
      <c r="F78" s="105" t="s">
        <v>20</v>
      </c>
      <c r="G78" s="107">
        <f>SUM(G68:G77)</f>
        <v>99.999999999999986</v>
      </c>
    </row>
    <row r="79" spans="1:7">
      <c r="A79" s="102" t="s">
        <v>21</v>
      </c>
      <c r="B79" s="104">
        <f t="shared" si="4"/>
        <v>18.608561128952985</v>
      </c>
      <c r="C79" s="104"/>
      <c r="D79" s="103">
        <f>R25</f>
        <v>85443.509000000005</v>
      </c>
    </row>
    <row r="80" spans="1:7">
      <c r="A80" s="105" t="s">
        <v>20</v>
      </c>
      <c r="B80" s="107">
        <f>SUM(B68:B79)</f>
        <v>100</v>
      </c>
      <c r="C80" s="107">
        <f>SUM(C68:C79)</f>
        <v>99.999999999999986</v>
      </c>
      <c r="D80" s="106">
        <f>SUM(D68:D79)</f>
        <v>459162.36300000001</v>
      </c>
    </row>
    <row r="85" spans="1:26" ht="15">
      <c r="A85" s="128"/>
      <c r="B85" s="128" t="s">
        <v>61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/>
      <c r="R85"/>
      <c r="S85"/>
      <c r="T85"/>
      <c r="U85"/>
      <c r="V85"/>
      <c r="W85"/>
      <c r="X85"/>
      <c r="Y85"/>
      <c r="Z85"/>
    </row>
    <row r="86" spans="1:26" ht="15">
      <c r="A86" s="128"/>
      <c r="B86" s="126" t="s">
        <v>59</v>
      </c>
      <c r="C86" s="172" t="s">
        <v>96</v>
      </c>
      <c r="D86" s="172" t="s">
        <v>97</v>
      </c>
      <c r="E86" s="172" t="s">
        <v>98</v>
      </c>
      <c r="F86" s="172" t="s">
        <v>99</v>
      </c>
      <c r="G86" s="172" t="s">
        <v>100</v>
      </c>
      <c r="H86" s="172" t="s">
        <v>101</v>
      </c>
      <c r="I86" s="172" t="s">
        <v>102</v>
      </c>
      <c r="J86" s="172" t="s">
        <v>103</v>
      </c>
      <c r="K86" s="172" t="s">
        <v>104</v>
      </c>
      <c r="L86" s="172" t="s">
        <v>105</v>
      </c>
      <c r="M86" s="172" t="s">
        <v>106</v>
      </c>
      <c r="N86" s="172" t="s">
        <v>107</v>
      </c>
      <c r="O86" s="172" t="s">
        <v>108</v>
      </c>
      <c r="P86" s="172" t="s">
        <v>114</v>
      </c>
      <c r="Q86"/>
      <c r="R86"/>
      <c r="S86"/>
      <c r="T86"/>
      <c r="U86"/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/>
      <c r="R87"/>
      <c r="S87"/>
      <c r="T87"/>
      <c r="U87"/>
      <c r="V87"/>
      <c r="W87"/>
      <c r="X87"/>
      <c r="Y87"/>
      <c r="Z87"/>
    </row>
    <row r="88" spans="1:26" ht="15">
      <c r="A88" s="214" t="s">
        <v>49</v>
      </c>
      <c r="B88" s="127" t="s">
        <v>11</v>
      </c>
      <c r="C88" s="166">
        <v>0</v>
      </c>
      <c r="D88" s="166">
        <v>0</v>
      </c>
      <c r="E88" s="166">
        <v>0</v>
      </c>
      <c r="F88" s="166">
        <v>0</v>
      </c>
      <c r="G88" s="166">
        <v>25.151703999999999</v>
      </c>
      <c r="H88" s="166">
        <v>29.836832000000001</v>
      </c>
      <c r="I88" s="166">
        <v>3.0622039999999999</v>
      </c>
      <c r="J88" s="166">
        <v>0</v>
      </c>
      <c r="K88" s="166">
        <v>0</v>
      </c>
      <c r="L88" s="166">
        <v>0</v>
      </c>
      <c r="M88" s="166">
        <v>0</v>
      </c>
      <c r="N88" s="166">
        <v>0</v>
      </c>
      <c r="O88" s="166">
        <v>4.6319679999999996</v>
      </c>
      <c r="P88" s="166">
        <v>22.885707</v>
      </c>
      <c r="Q88"/>
      <c r="R88"/>
      <c r="S88"/>
      <c r="T88"/>
      <c r="U88"/>
      <c r="V88"/>
      <c r="W88"/>
      <c r="X88"/>
      <c r="Y88"/>
      <c r="Z88"/>
    </row>
    <row r="89" spans="1:26" ht="15">
      <c r="A89" s="215"/>
      <c r="B89" s="127" t="s">
        <v>70</v>
      </c>
      <c r="C89" s="166">
        <v>6.1979410000000001</v>
      </c>
      <c r="D89" s="166">
        <v>5.7004010000000003</v>
      </c>
      <c r="E89" s="166">
        <v>6.2874660000000002</v>
      </c>
      <c r="F89" s="166">
        <v>18.937709000000002</v>
      </c>
      <c r="G89" s="166">
        <v>12.634096</v>
      </c>
      <c r="H89" s="166">
        <v>18.518857000000001</v>
      </c>
      <c r="I89" s="166">
        <v>51.657288000000001</v>
      </c>
      <c r="J89" s="166">
        <v>63.154792</v>
      </c>
      <c r="K89" s="166">
        <v>37.101396999999999</v>
      </c>
      <c r="L89" s="166">
        <v>25.321735</v>
      </c>
      <c r="M89" s="166">
        <v>8.0420429999999996</v>
      </c>
      <c r="N89" s="166">
        <v>8.2701910000000005</v>
      </c>
      <c r="O89" s="166">
        <v>8.5854890000000008</v>
      </c>
      <c r="P89" s="166">
        <v>3.5194220000000001</v>
      </c>
      <c r="Q89"/>
      <c r="R89"/>
      <c r="S89"/>
      <c r="T89"/>
      <c r="U89"/>
      <c r="V89"/>
      <c r="W89"/>
      <c r="X89"/>
      <c r="Y89"/>
      <c r="Z89"/>
    </row>
    <row r="90" spans="1:26" ht="15">
      <c r="A90" s="215"/>
      <c r="B90" s="127" t="s">
        <v>9</v>
      </c>
      <c r="C90" s="166">
        <v>25.499687000000002</v>
      </c>
      <c r="D90" s="166">
        <v>24.103729999999999</v>
      </c>
      <c r="E90" s="166">
        <v>25.225477999999999</v>
      </c>
      <c r="F90" s="166">
        <v>29.829684</v>
      </c>
      <c r="G90" s="166">
        <v>29.728614</v>
      </c>
      <c r="H90" s="166">
        <v>43.667929999999998</v>
      </c>
      <c r="I90" s="166">
        <v>52.690387999999999</v>
      </c>
      <c r="J90" s="166">
        <v>57.984402000000003</v>
      </c>
      <c r="K90" s="166">
        <v>36.627740000000003</v>
      </c>
      <c r="L90" s="166">
        <v>40.918340000000001</v>
      </c>
      <c r="M90" s="166">
        <v>22.217787999999999</v>
      </c>
      <c r="N90" s="166">
        <v>25.456890999999999</v>
      </c>
      <c r="O90" s="166">
        <v>23.827804</v>
      </c>
      <c r="P90" s="166">
        <v>8.3531929999999992</v>
      </c>
      <c r="Q90"/>
      <c r="R90"/>
      <c r="S90"/>
      <c r="T90"/>
      <c r="U90"/>
      <c r="V90"/>
      <c r="W90"/>
      <c r="X90"/>
      <c r="Y90"/>
      <c r="Z90"/>
    </row>
    <row r="91" spans="1:26" ht="15">
      <c r="A91" s="215"/>
      <c r="B91" s="127" t="s">
        <v>25</v>
      </c>
      <c r="C91" s="166">
        <v>245.660033</v>
      </c>
      <c r="D91" s="166">
        <v>219.76708199999999</v>
      </c>
      <c r="E91" s="166">
        <v>214.68396200000001</v>
      </c>
      <c r="F91" s="166">
        <v>206.60469800000001</v>
      </c>
      <c r="G91" s="166">
        <v>207.90606</v>
      </c>
      <c r="H91" s="166">
        <v>213.69113200000001</v>
      </c>
      <c r="I91" s="166">
        <v>274.34556800000001</v>
      </c>
      <c r="J91" s="166">
        <v>334.32576699999998</v>
      </c>
      <c r="K91" s="166">
        <v>246.11744899999999</v>
      </c>
      <c r="L91" s="166">
        <v>233.64673300000001</v>
      </c>
      <c r="M91" s="166">
        <v>228.35513399999999</v>
      </c>
      <c r="N91" s="166">
        <v>287.61223999999999</v>
      </c>
      <c r="O91" s="166">
        <v>284.762474</v>
      </c>
      <c r="P91" s="166">
        <v>87.317293000000006</v>
      </c>
      <c r="Q91"/>
      <c r="R91"/>
      <c r="S91"/>
      <c r="T91"/>
      <c r="U91"/>
      <c r="V91"/>
      <c r="W91"/>
      <c r="X91"/>
      <c r="Y91"/>
      <c r="Z91"/>
    </row>
    <row r="92" spans="1:26" ht="15">
      <c r="A92" s="215"/>
      <c r="B92" s="127" t="s">
        <v>24</v>
      </c>
      <c r="C92" s="166">
        <v>0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6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15"/>
      <c r="B93" s="127" t="s">
        <v>5</v>
      </c>
      <c r="C93" s="166">
        <v>0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/>
      <c r="R93"/>
      <c r="S93"/>
      <c r="T93"/>
      <c r="U93"/>
      <c r="V93"/>
      <c r="W93"/>
      <c r="X93"/>
      <c r="Y93"/>
      <c r="Z93"/>
    </row>
    <row r="94" spans="1:26" ht="15">
      <c r="A94" s="215"/>
      <c r="B94" s="127" t="s">
        <v>4</v>
      </c>
      <c r="C94" s="166">
        <v>24.205653000000002</v>
      </c>
      <c r="D94" s="166">
        <v>30.786093000000001</v>
      </c>
      <c r="E94" s="166">
        <v>45.328431999999999</v>
      </c>
      <c r="F94" s="166">
        <v>44.651336999999998</v>
      </c>
      <c r="G94" s="166">
        <v>58.329237999999997</v>
      </c>
      <c r="H94" s="166">
        <v>53.302475000000001</v>
      </c>
      <c r="I94" s="166">
        <v>60.169364999999999</v>
      </c>
      <c r="J94" s="166">
        <v>55.465451999999999</v>
      </c>
      <c r="K94" s="166">
        <v>43.998294999999999</v>
      </c>
      <c r="L94" s="166">
        <v>38.814532</v>
      </c>
      <c r="M94" s="166">
        <v>26.937676</v>
      </c>
      <c r="N94" s="166">
        <v>24.958469999999998</v>
      </c>
      <c r="O94" s="166">
        <v>27.699960999999998</v>
      </c>
      <c r="P94" s="166">
        <v>13.623533</v>
      </c>
      <c r="Q94"/>
      <c r="R94"/>
      <c r="S94"/>
      <c r="T94"/>
      <c r="U94"/>
      <c r="V94"/>
      <c r="W94"/>
      <c r="X94"/>
      <c r="Y94"/>
      <c r="Z94"/>
    </row>
    <row r="95" spans="1:26" ht="15">
      <c r="A95" s="215"/>
      <c r="B95" s="127" t="s">
        <v>22</v>
      </c>
      <c r="C95" s="166">
        <v>0.10423</v>
      </c>
      <c r="D95" s="166">
        <v>3.9530000000000003E-2</v>
      </c>
      <c r="E95" s="166">
        <v>4.0002000000000003E-2</v>
      </c>
      <c r="F95" s="166">
        <v>1.5544000000000001E-2</v>
      </c>
      <c r="G95" s="166">
        <v>4.1384999999999998E-2</v>
      </c>
      <c r="H95" s="166">
        <v>7.8099000000000002E-2</v>
      </c>
      <c r="I95" s="166">
        <v>0.18402499999999999</v>
      </c>
      <c r="J95" s="166">
        <v>0.28992600000000002</v>
      </c>
      <c r="K95" s="166">
        <v>0.364813</v>
      </c>
      <c r="L95" s="166">
        <v>0.34994999999999998</v>
      </c>
      <c r="M95" s="166">
        <v>0.27039800000000003</v>
      </c>
      <c r="N95" s="166">
        <v>0.23000100000000001</v>
      </c>
      <c r="O95" s="166">
        <v>0.256185</v>
      </c>
      <c r="P95" s="166">
        <v>9.4008999999999995E-2</v>
      </c>
      <c r="Q95"/>
      <c r="R95"/>
      <c r="S95"/>
      <c r="T95"/>
      <c r="U95"/>
      <c r="V95"/>
      <c r="W95"/>
      <c r="X95"/>
      <c r="Y95"/>
      <c r="Z95"/>
    </row>
    <row r="96" spans="1:26" ht="15">
      <c r="A96" s="215"/>
      <c r="B96" s="127" t="s">
        <v>23</v>
      </c>
      <c r="C96" s="166">
        <v>3.9370180000000001</v>
      </c>
      <c r="D96" s="166">
        <v>3.7397490000000002</v>
      </c>
      <c r="E96" s="166">
        <v>3.4851179999999999</v>
      </c>
      <c r="F96" s="166">
        <v>1.9095409999999999</v>
      </c>
      <c r="G96" s="166">
        <v>3.5397620000000001</v>
      </c>
      <c r="H96" s="166">
        <v>3.4609559999999999</v>
      </c>
      <c r="I96" s="166">
        <v>3.2774670000000001</v>
      </c>
      <c r="J96" s="166">
        <v>3.1243509999999999</v>
      </c>
      <c r="K96" s="166">
        <v>2.778902</v>
      </c>
      <c r="L96" s="166">
        <v>2.2852030000000001</v>
      </c>
      <c r="M96" s="166">
        <v>1.8790750000000001</v>
      </c>
      <c r="N96" s="166">
        <v>3.2668629999999999</v>
      </c>
      <c r="O96" s="166">
        <v>3.6863090000000001</v>
      </c>
      <c r="P96" s="166">
        <v>1.4572000000000001</v>
      </c>
      <c r="Q96"/>
      <c r="R96"/>
      <c r="S96"/>
      <c r="T96"/>
      <c r="U96"/>
      <c r="V96"/>
      <c r="W96"/>
      <c r="X96"/>
      <c r="Y96"/>
      <c r="Z96"/>
    </row>
    <row r="97" spans="1:26" ht="15">
      <c r="A97" s="215"/>
      <c r="B97" s="127" t="s">
        <v>46</v>
      </c>
      <c r="C97" s="166">
        <v>10.485035</v>
      </c>
      <c r="D97" s="166">
        <v>5.6085469999999997</v>
      </c>
      <c r="E97" s="166">
        <v>12.829401000000001</v>
      </c>
      <c r="F97" s="166">
        <v>11.323399</v>
      </c>
      <c r="G97" s="166">
        <v>12.2750895</v>
      </c>
      <c r="H97" s="166">
        <v>16.584269500000001</v>
      </c>
      <c r="I97" s="166">
        <v>15.726691000000001</v>
      </c>
      <c r="J97" s="166">
        <v>15.578734000000001</v>
      </c>
      <c r="K97" s="166">
        <v>14.1961285</v>
      </c>
      <c r="L97" s="166">
        <v>9.2427220000000005</v>
      </c>
      <c r="M97" s="166">
        <v>9.5122354999999992</v>
      </c>
      <c r="N97" s="166">
        <v>12.261645</v>
      </c>
      <c r="O97" s="166">
        <v>10.134332000000001</v>
      </c>
      <c r="P97" s="166">
        <v>3.8580000000000001</v>
      </c>
      <c r="Q97"/>
      <c r="R97"/>
      <c r="S97"/>
      <c r="T97"/>
      <c r="U97"/>
      <c r="V97"/>
      <c r="W97"/>
      <c r="X97"/>
      <c r="Y97"/>
      <c r="Z97"/>
    </row>
    <row r="98" spans="1:26" ht="15">
      <c r="A98" s="215"/>
      <c r="B98" s="127" t="s">
        <v>47</v>
      </c>
      <c r="C98" s="166">
        <v>10.485035</v>
      </c>
      <c r="D98" s="166">
        <v>5.6085469999999997</v>
      </c>
      <c r="E98" s="166">
        <v>12.829401000000001</v>
      </c>
      <c r="F98" s="166">
        <v>11.323399</v>
      </c>
      <c r="G98" s="166">
        <v>12.2750895</v>
      </c>
      <c r="H98" s="166">
        <v>16.584269500000001</v>
      </c>
      <c r="I98" s="166">
        <v>15.726691000000001</v>
      </c>
      <c r="J98" s="166">
        <v>15.578734000000001</v>
      </c>
      <c r="K98" s="166">
        <v>14.1961285</v>
      </c>
      <c r="L98" s="166">
        <v>9.2427220000000005</v>
      </c>
      <c r="M98" s="166">
        <v>9.5122354999999992</v>
      </c>
      <c r="N98" s="166">
        <v>12.261645</v>
      </c>
      <c r="O98" s="166">
        <v>10.134332000000001</v>
      </c>
      <c r="P98" s="166">
        <v>3.8580000000000001</v>
      </c>
      <c r="Q98"/>
      <c r="R98"/>
      <c r="S98"/>
      <c r="T98"/>
      <c r="U98"/>
      <c r="V98"/>
      <c r="W98"/>
      <c r="X98"/>
      <c r="Y98"/>
      <c r="Z98"/>
    </row>
    <row r="99" spans="1:26" ht="15">
      <c r="A99" s="215"/>
      <c r="B99" s="131" t="s">
        <v>2</v>
      </c>
      <c r="C99" s="167">
        <v>326.57463200000001</v>
      </c>
      <c r="D99" s="167">
        <v>295.353679</v>
      </c>
      <c r="E99" s="167">
        <v>320.70925999999997</v>
      </c>
      <c r="F99" s="167">
        <v>324.59531099999998</v>
      </c>
      <c r="G99" s="167">
        <v>361.88103799999999</v>
      </c>
      <c r="H99" s="167">
        <v>395.72482000000002</v>
      </c>
      <c r="I99" s="167">
        <v>476.83968700000003</v>
      </c>
      <c r="J99" s="167">
        <v>545.50215800000001</v>
      </c>
      <c r="K99" s="167">
        <v>395.380853</v>
      </c>
      <c r="L99" s="167">
        <v>359.82193699999999</v>
      </c>
      <c r="M99" s="167">
        <v>306.726585</v>
      </c>
      <c r="N99" s="167">
        <v>374.31794600000001</v>
      </c>
      <c r="O99" s="167">
        <v>373.71885400000002</v>
      </c>
      <c r="P99" s="167">
        <v>144.96635699999999</v>
      </c>
      <c r="Q99"/>
      <c r="R99"/>
      <c r="S99"/>
      <c r="T99"/>
      <c r="U99"/>
      <c r="V99"/>
      <c r="W99"/>
      <c r="X99"/>
      <c r="Y99"/>
      <c r="Z99"/>
    </row>
    <row r="100" spans="1:26" ht="15">
      <c r="A100" s="215"/>
      <c r="B100" s="127" t="s">
        <v>111</v>
      </c>
      <c r="C100" s="166">
        <v>2.9220000000000001E-3</v>
      </c>
      <c r="D100" s="166">
        <v>0</v>
      </c>
      <c r="E100" s="166">
        <v>2.3219999999999998E-3</v>
      </c>
      <c r="F100" s="166">
        <v>0</v>
      </c>
      <c r="G100" s="166">
        <v>8.5810000000000001E-3</v>
      </c>
      <c r="H100" s="166">
        <v>1.8225999999999999E-2</v>
      </c>
      <c r="I100" s="166">
        <v>0</v>
      </c>
      <c r="J100" s="166">
        <v>0</v>
      </c>
      <c r="K100" s="166">
        <v>4.75E-4</v>
      </c>
      <c r="L100" s="166">
        <v>5.6973000000000003E-2</v>
      </c>
      <c r="M100" s="166">
        <v>4.3603000000000003E-2</v>
      </c>
      <c r="N100" s="166">
        <v>1.0196999999999999E-2</v>
      </c>
      <c r="O100" s="166">
        <v>5.3210000000000002E-3</v>
      </c>
      <c r="P100" s="166">
        <v>0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15"/>
      <c r="B101" s="127" t="s">
        <v>112</v>
      </c>
      <c r="C101" s="166">
        <v>-2.2768E-2</v>
      </c>
      <c r="D101" s="166">
        <v>-1.0208999999999999E-2</v>
      </c>
      <c r="E101" s="166">
        <v>-3.2804E-2</v>
      </c>
      <c r="F101" s="166">
        <v>-4.0090000000000004E-3</v>
      </c>
      <c r="G101" s="166">
        <v>-3.6989000000000001E-2</v>
      </c>
      <c r="H101" s="166">
        <v>-6.3725000000000004E-2</v>
      </c>
      <c r="I101" s="166">
        <v>-5.3999999999999998E-5</v>
      </c>
      <c r="J101" s="166">
        <v>-1.776E-3</v>
      </c>
      <c r="K101" s="166">
        <v>-9.0050000000000009E-3</v>
      </c>
      <c r="L101" s="166">
        <v>-0.12790699999999999</v>
      </c>
      <c r="M101" s="166">
        <v>-8.7809999999999999E-2</v>
      </c>
      <c r="N101" s="166">
        <v>-2.4122000000000001E-2</v>
      </c>
      <c r="O101" s="166">
        <v>-2.0024E-2</v>
      </c>
      <c r="P101" s="166">
        <v>0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15"/>
      <c r="B102" s="127" t="s">
        <v>21</v>
      </c>
      <c r="C102" s="166">
        <v>122.760274</v>
      </c>
      <c r="D102" s="166">
        <v>114.74408200000001</v>
      </c>
      <c r="E102" s="166">
        <v>110.667727</v>
      </c>
      <c r="F102" s="166">
        <v>109.36235000000001</v>
      </c>
      <c r="G102" s="166">
        <v>117.764884</v>
      </c>
      <c r="H102" s="166">
        <v>145.36358899999999</v>
      </c>
      <c r="I102" s="166">
        <v>208.454387</v>
      </c>
      <c r="J102" s="166">
        <v>187.956546</v>
      </c>
      <c r="K102" s="166">
        <v>162.00915900000001</v>
      </c>
      <c r="L102" s="166">
        <v>144.54443599999999</v>
      </c>
      <c r="M102" s="166">
        <v>78.195680999999993</v>
      </c>
      <c r="N102" s="166">
        <v>77.984769</v>
      </c>
      <c r="O102" s="166">
        <v>85.443509000000006</v>
      </c>
      <c r="P102" s="166">
        <v>43.735900000000001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16"/>
      <c r="B103" s="131" t="s">
        <v>71</v>
      </c>
      <c r="C103" s="167">
        <v>449.31506000000002</v>
      </c>
      <c r="D103" s="167">
        <v>410.08755200000002</v>
      </c>
      <c r="E103" s="167">
        <v>431.34650499999998</v>
      </c>
      <c r="F103" s="167">
        <v>433.95365199999998</v>
      </c>
      <c r="G103" s="167">
        <v>479.61751400000003</v>
      </c>
      <c r="H103" s="167">
        <v>541.04291000000001</v>
      </c>
      <c r="I103" s="167">
        <v>685.29402000000005</v>
      </c>
      <c r="J103" s="167">
        <v>733.45692799999995</v>
      </c>
      <c r="K103" s="167">
        <v>557.38148200000001</v>
      </c>
      <c r="L103" s="167">
        <v>504.29543899999999</v>
      </c>
      <c r="M103" s="167">
        <v>384.87805900000001</v>
      </c>
      <c r="N103" s="167">
        <v>452.28879000000001</v>
      </c>
      <c r="O103" s="167">
        <v>459.14765999999997</v>
      </c>
      <c r="P103" s="167">
        <v>188.702257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19" t="s">
        <v>50</v>
      </c>
      <c r="B104" s="127" t="s">
        <v>12</v>
      </c>
      <c r="C104" s="166">
        <v>0.29624200000000001</v>
      </c>
      <c r="D104" s="166">
        <v>0.28508299999999998</v>
      </c>
      <c r="E104" s="166">
        <v>0.272924</v>
      </c>
      <c r="F104" s="166">
        <v>0.258407</v>
      </c>
      <c r="G104" s="166">
        <v>0.28213199999999999</v>
      </c>
      <c r="H104" s="166">
        <v>0.27541500000000002</v>
      </c>
      <c r="I104" s="166">
        <v>0.290603</v>
      </c>
      <c r="J104" s="166">
        <v>0.28181699999999998</v>
      </c>
      <c r="K104" s="166">
        <v>0.27621200000000001</v>
      </c>
      <c r="L104" s="166">
        <v>0.29845300000000002</v>
      </c>
      <c r="M104" s="166">
        <v>0.28431800000000002</v>
      </c>
      <c r="N104" s="166">
        <v>0.28783500000000001</v>
      </c>
      <c r="O104" s="166">
        <v>0.285242</v>
      </c>
      <c r="P104" s="166">
        <v>0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15"/>
      <c r="B105" s="127" t="s">
        <v>70</v>
      </c>
      <c r="C105" s="166">
        <v>169.88187400000001</v>
      </c>
      <c r="D105" s="166">
        <v>150.50368700000001</v>
      </c>
      <c r="E105" s="166">
        <v>159.11780200000001</v>
      </c>
      <c r="F105" s="166">
        <v>147.29312100000001</v>
      </c>
      <c r="G105" s="166">
        <v>146.28192000000001</v>
      </c>
      <c r="H105" s="166">
        <v>150.704353</v>
      </c>
      <c r="I105" s="166">
        <v>160.623885</v>
      </c>
      <c r="J105" s="166">
        <v>152.78751800000001</v>
      </c>
      <c r="K105" s="166">
        <v>158.02361400000001</v>
      </c>
      <c r="L105" s="166">
        <v>161.225874</v>
      </c>
      <c r="M105" s="166">
        <v>162.623898</v>
      </c>
      <c r="N105" s="166">
        <v>158.879446</v>
      </c>
      <c r="O105" s="166">
        <v>164.446281</v>
      </c>
      <c r="P105" s="166">
        <v>58.473720999999998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15"/>
      <c r="B106" s="127" t="s">
        <v>9</v>
      </c>
      <c r="C106" s="166">
        <v>28.281392</v>
      </c>
      <c r="D106" s="166">
        <v>23.554095</v>
      </c>
      <c r="E106" s="166">
        <v>23.025227000000001</v>
      </c>
      <c r="F106" s="166">
        <v>15.266852</v>
      </c>
      <c r="G106" s="166">
        <v>13.422698</v>
      </c>
      <c r="H106" s="166">
        <v>26.814177000000001</v>
      </c>
      <c r="I106" s="166">
        <v>16.554684000000002</v>
      </c>
      <c r="J106" s="166">
        <v>15.849519000000001</v>
      </c>
      <c r="K106" s="166">
        <v>24.502908999999999</v>
      </c>
      <c r="L106" s="166">
        <v>16.364426999999999</v>
      </c>
      <c r="M106" s="166">
        <v>29.713279</v>
      </c>
      <c r="N106" s="166">
        <v>20.429556000000002</v>
      </c>
      <c r="O106" s="166">
        <v>37.045735999999998</v>
      </c>
      <c r="P106" s="166">
        <v>7.411511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15"/>
      <c r="B107" s="127" t="s">
        <v>8</v>
      </c>
      <c r="C107" s="166">
        <v>121.758736</v>
      </c>
      <c r="D107" s="166">
        <v>103.04591600000001</v>
      </c>
      <c r="E107" s="166">
        <v>118.98512599999999</v>
      </c>
      <c r="F107" s="166">
        <v>101.478588</v>
      </c>
      <c r="G107" s="166">
        <v>109.30998200000001</v>
      </c>
      <c r="H107" s="166">
        <v>82.237212</v>
      </c>
      <c r="I107" s="166">
        <v>108.818316</v>
      </c>
      <c r="J107" s="166">
        <v>104.478976</v>
      </c>
      <c r="K107" s="166">
        <v>76.899137999999994</v>
      </c>
      <c r="L107" s="166">
        <v>89.300011999999995</v>
      </c>
      <c r="M107" s="166">
        <v>91.813715999999999</v>
      </c>
      <c r="N107" s="166">
        <v>71.233320000000006</v>
      </c>
      <c r="O107" s="166">
        <v>82.867552000000003</v>
      </c>
      <c r="P107" s="166">
        <v>42.859707999999998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15"/>
      <c r="B108" s="127" t="s">
        <v>25</v>
      </c>
      <c r="C108" s="166">
        <v>349.62675200000001</v>
      </c>
      <c r="D108" s="166">
        <v>283.485344</v>
      </c>
      <c r="E108" s="166">
        <v>307.37834299999997</v>
      </c>
      <c r="F108" s="166">
        <v>316.11086599999999</v>
      </c>
      <c r="G108" s="166">
        <v>261.3288</v>
      </c>
      <c r="H108" s="166">
        <v>271.16905600000001</v>
      </c>
      <c r="I108" s="166">
        <v>265.51519999999999</v>
      </c>
      <c r="J108" s="166">
        <v>260.370474</v>
      </c>
      <c r="K108" s="166">
        <v>296.23593199999999</v>
      </c>
      <c r="L108" s="166">
        <v>354.842107</v>
      </c>
      <c r="M108" s="166">
        <v>391.60655400000002</v>
      </c>
      <c r="N108" s="166">
        <v>377.87321400000002</v>
      </c>
      <c r="O108" s="166">
        <v>342.56568199999998</v>
      </c>
      <c r="P108" s="166">
        <v>98.892110000000002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15"/>
      <c r="B109" s="127" t="s">
        <v>6</v>
      </c>
      <c r="C109" s="166">
        <v>0.73928799999999995</v>
      </c>
      <c r="D109" s="166">
        <v>1.4498660000000001</v>
      </c>
      <c r="E109" s="166">
        <v>1.626099</v>
      </c>
      <c r="F109" s="166">
        <v>1.3224050000000001</v>
      </c>
      <c r="G109" s="166">
        <v>2.25665</v>
      </c>
      <c r="H109" s="166">
        <v>2.6416550000000001</v>
      </c>
      <c r="I109" s="166">
        <v>3.5113099999999999</v>
      </c>
      <c r="J109" s="166">
        <v>3.975784</v>
      </c>
      <c r="K109" s="166">
        <v>2.271474</v>
      </c>
      <c r="L109" s="166">
        <v>1.869634</v>
      </c>
      <c r="M109" s="166">
        <v>0.32408100000000001</v>
      </c>
      <c r="N109" s="166">
        <v>1.363745</v>
      </c>
      <c r="O109" s="166">
        <v>1.249555</v>
      </c>
      <c r="P109" s="166">
        <v>0.45261000000000001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15"/>
      <c r="B110" s="127" t="s">
        <v>5</v>
      </c>
      <c r="C110" s="166">
        <v>53.153264999999998</v>
      </c>
      <c r="D110" s="166">
        <v>108.660585</v>
      </c>
      <c r="E110" s="166">
        <v>89.216486000000003</v>
      </c>
      <c r="F110" s="166">
        <v>94.672573</v>
      </c>
      <c r="G110" s="166">
        <v>147.02184</v>
      </c>
      <c r="H110" s="166">
        <v>129.86778200000001</v>
      </c>
      <c r="I110" s="166">
        <v>169.43657200000001</v>
      </c>
      <c r="J110" s="166">
        <v>210.63246799999999</v>
      </c>
      <c r="K110" s="166">
        <v>148.53897900000001</v>
      </c>
      <c r="L110" s="166">
        <v>116.739524</v>
      </c>
      <c r="M110" s="166">
        <v>42.197834</v>
      </c>
      <c r="N110" s="166">
        <v>98.604337999999998</v>
      </c>
      <c r="O110" s="166">
        <v>94.728306000000003</v>
      </c>
      <c r="P110" s="166">
        <v>45.331096000000002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15"/>
      <c r="B111" s="127" t="s">
        <v>4</v>
      </c>
      <c r="C111" s="166">
        <v>24.766017999999999</v>
      </c>
      <c r="D111" s="166">
        <v>26.429468</v>
      </c>
      <c r="E111" s="166">
        <v>32.017468999999998</v>
      </c>
      <c r="F111" s="166">
        <v>36.076476</v>
      </c>
      <c r="G111" s="166">
        <v>35.820442999999997</v>
      </c>
      <c r="H111" s="166">
        <v>36.284447</v>
      </c>
      <c r="I111" s="166">
        <v>42.800131</v>
      </c>
      <c r="J111" s="166">
        <v>40.863112000000001</v>
      </c>
      <c r="K111" s="166">
        <v>37.483722</v>
      </c>
      <c r="L111" s="166">
        <v>36.283222000000002</v>
      </c>
      <c r="M111" s="166">
        <v>28.453948</v>
      </c>
      <c r="N111" s="166">
        <v>27.273921999999999</v>
      </c>
      <c r="O111" s="166">
        <v>32.038106999999997</v>
      </c>
      <c r="P111" s="166">
        <v>11.882659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15"/>
      <c r="B112" s="127" t="s">
        <v>22</v>
      </c>
      <c r="C112" s="166">
        <v>0.50013399999999997</v>
      </c>
      <c r="D112" s="166">
        <v>0.49944300000000003</v>
      </c>
      <c r="E112" s="166">
        <v>0.57839200000000002</v>
      </c>
      <c r="F112" s="166">
        <v>0.26424700000000001</v>
      </c>
      <c r="G112" s="166">
        <v>0.430983</v>
      </c>
      <c r="H112" s="166">
        <v>0.49796200000000002</v>
      </c>
      <c r="I112" s="166">
        <v>0.62341999999999997</v>
      </c>
      <c r="J112" s="166">
        <v>1.3289139999999999</v>
      </c>
      <c r="K112" s="166">
        <v>1.1101749999999999</v>
      </c>
      <c r="L112" s="166">
        <v>1.1028469999999999</v>
      </c>
      <c r="M112" s="166">
        <v>1.1775519999999999</v>
      </c>
      <c r="N112" s="166">
        <v>1.130485</v>
      </c>
      <c r="O112" s="166">
        <v>1.127931</v>
      </c>
      <c r="P112" s="166">
        <v>0</v>
      </c>
      <c r="Q112"/>
      <c r="R112"/>
      <c r="S112"/>
      <c r="T112"/>
      <c r="U112"/>
      <c r="V112"/>
      <c r="W112"/>
      <c r="X112"/>
      <c r="Y112"/>
      <c r="Z112"/>
    </row>
    <row r="113" spans="1:26" ht="15">
      <c r="A113" s="215"/>
      <c r="B113" s="131" t="s">
        <v>2</v>
      </c>
      <c r="C113" s="167">
        <v>749.00370099999998</v>
      </c>
      <c r="D113" s="167">
        <v>697.91348700000003</v>
      </c>
      <c r="E113" s="167">
        <v>732.21786799999995</v>
      </c>
      <c r="F113" s="167">
        <v>712.74353499999995</v>
      </c>
      <c r="G113" s="167">
        <v>716.15544799999998</v>
      </c>
      <c r="H113" s="167">
        <v>700.49205900000004</v>
      </c>
      <c r="I113" s="167">
        <v>768.17412100000001</v>
      </c>
      <c r="J113" s="167">
        <v>790.56858199999999</v>
      </c>
      <c r="K113" s="167">
        <v>745.34215500000005</v>
      </c>
      <c r="L113" s="167">
        <v>778.02610000000004</v>
      </c>
      <c r="M113" s="167">
        <v>748.19518000000005</v>
      </c>
      <c r="N113" s="167">
        <v>757.07586100000003</v>
      </c>
      <c r="O113" s="167">
        <v>756.35439199999996</v>
      </c>
      <c r="P113" s="167">
        <v>265.30341499999997</v>
      </c>
      <c r="Q113"/>
      <c r="R113"/>
      <c r="S113"/>
      <c r="T113"/>
      <c r="U113"/>
      <c r="V113"/>
      <c r="W113"/>
      <c r="X113"/>
      <c r="Y113"/>
      <c r="Z113"/>
    </row>
    <row r="114" spans="1:26" ht="15">
      <c r="A114" s="216"/>
      <c r="B114" s="131" t="s">
        <v>71</v>
      </c>
      <c r="C114" s="167">
        <v>749.00370099999998</v>
      </c>
      <c r="D114" s="167">
        <v>697.91348700000003</v>
      </c>
      <c r="E114" s="167">
        <v>732.21786799999995</v>
      </c>
      <c r="F114" s="167">
        <v>712.74353499999995</v>
      </c>
      <c r="G114" s="167">
        <v>716.15544799999998</v>
      </c>
      <c r="H114" s="167">
        <v>700.49205900000004</v>
      </c>
      <c r="I114" s="167">
        <v>768.17412100000001</v>
      </c>
      <c r="J114" s="167">
        <v>790.56858199999999</v>
      </c>
      <c r="K114" s="167">
        <v>745.34215500000005</v>
      </c>
      <c r="L114" s="167">
        <v>778.02610000000004</v>
      </c>
      <c r="M114" s="167">
        <v>748.19518000000005</v>
      </c>
      <c r="N114" s="167">
        <v>757.07586100000003</v>
      </c>
      <c r="O114" s="167">
        <v>756.35439199999996</v>
      </c>
      <c r="P114" s="167">
        <v>265.30341499999997</v>
      </c>
      <c r="Q114"/>
      <c r="R114"/>
      <c r="S114"/>
      <c r="T114"/>
      <c r="U114"/>
      <c r="V114"/>
      <c r="W114"/>
      <c r="X114"/>
      <c r="Y114"/>
      <c r="Z114"/>
    </row>
    <row r="115" spans="1:26" ht="13.9" customHeight="1">
      <c r="A115" s="174"/>
      <c r="B115" s="131" t="s">
        <v>71</v>
      </c>
      <c r="C115" s="167">
        <v>719.42066</v>
      </c>
      <c r="D115" s="167">
        <v>650.39298299999996</v>
      </c>
      <c r="E115" s="167">
        <v>713.582358</v>
      </c>
      <c r="F115" s="167">
        <v>675.99098200000003</v>
      </c>
      <c r="G115" s="167">
        <v>702.09189000000003</v>
      </c>
      <c r="H115" s="167">
        <v>713.71319300000005</v>
      </c>
      <c r="I115" s="167">
        <v>762.82525099999998</v>
      </c>
      <c r="J115" s="167">
        <v>802.59653400000002</v>
      </c>
      <c r="K115" s="167">
        <v>744.78947700000003</v>
      </c>
      <c r="L115" s="167">
        <v>804.27724599999999</v>
      </c>
      <c r="M115" s="167">
        <v>731.55021499999998</v>
      </c>
      <c r="N115" s="167">
        <v>733.95237899999995</v>
      </c>
      <c r="O115" s="167">
        <v>741.16554399999995</v>
      </c>
      <c r="P115" s="167">
        <v>691.32410200000004</v>
      </c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9" spans="1:26">
      <c r="B119" s="212" t="s">
        <v>65</v>
      </c>
      <c r="C119" s="108" t="str">
        <f>TEXT(EDATE(D119,-1),"mmmm aaaa")</f>
        <v>enero 2024</v>
      </c>
      <c r="D119" s="108" t="str">
        <f t="shared" ref="D119:M119" si="6">TEXT(EDATE(E119,-1),"mmmm aaaa")</f>
        <v>febrero 2024</v>
      </c>
      <c r="E119" s="108" t="str">
        <f t="shared" si="6"/>
        <v>marzo 2024</v>
      </c>
      <c r="F119" s="108" t="str">
        <f t="shared" si="6"/>
        <v>abril 2024</v>
      </c>
      <c r="G119" s="108" t="str">
        <f t="shared" si="6"/>
        <v>mayo 2024</v>
      </c>
      <c r="H119" s="108" t="str">
        <f t="shared" si="6"/>
        <v>junio 2024</v>
      </c>
      <c r="I119" s="108" t="str">
        <f t="shared" si="6"/>
        <v>julio 2024</v>
      </c>
      <c r="J119" s="108" t="str">
        <f t="shared" si="6"/>
        <v>agosto 2024</v>
      </c>
      <c r="K119" s="108" t="str">
        <f t="shared" si="6"/>
        <v>septiembre 2024</v>
      </c>
      <c r="L119" s="108" t="str">
        <f t="shared" si="6"/>
        <v>octubre 2024</v>
      </c>
      <c r="M119" s="108" t="str">
        <f t="shared" si="6"/>
        <v>noviembre 2024</v>
      </c>
      <c r="N119" s="108" t="str">
        <f>TEXT(EDATE(O119,-1),"mmmm aaaa")</f>
        <v>diciembre 2024</v>
      </c>
      <c r="O119" s="109" t="str">
        <f>A2</f>
        <v>Enero 2025</v>
      </c>
    </row>
    <row r="120" spans="1:26">
      <c r="B120" s="213"/>
      <c r="C120" s="116" t="str">
        <f>TEXT(EDATE($A$2,-12),"mmm")&amp;".-"&amp;TEXT(EDATE($A$2,-12),"aa")</f>
        <v>ene.-24</v>
      </c>
      <c r="D120" s="116" t="str">
        <f>TEXT(EDATE($A$2,-11),"mmm")&amp;".-"&amp;TEXT(EDATE($A$2,-11),"aa")</f>
        <v>feb.-24</v>
      </c>
      <c r="E120" s="116" t="str">
        <f>TEXT(EDATE($A$2,-10),"mmm")&amp;".-"&amp;TEXT(EDATE($A$2,-10),"aa")</f>
        <v>mar.-24</v>
      </c>
      <c r="F120" s="116" t="str">
        <f>TEXT(EDATE($A$2,-9),"mmm")&amp;".-"&amp;TEXT(EDATE($A$2,-9),"aa")</f>
        <v>abr.-24</v>
      </c>
      <c r="G120" s="116" t="str">
        <f>TEXT(EDATE($A$2,-8),"mmm")&amp;".-"&amp;TEXT(EDATE($A$2,-8),"aa")</f>
        <v>may.-24</v>
      </c>
      <c r="H120" s="116" t="str">
        <f>TEXT(EDATE($A$2,-7),"mmm")&amp;".-"&amp;TEXT(EDATE($A$2,-7),"aa")</f>
        <v>jun.-24</v>
      </c>
      <c r="I120" s="116" t="str">
        <f>TEXT(EDATE($A$2,-6),"mmm")&amp;".-"&amp;TEXT(EDATE($A$2,-6),"aa")</f>
        <v>jul.-24</v>
      </c>
      <c r="J120" s="116" t="str">
        <f>TEXT(EDATE($A$2,-5),"mmm")&amp;".-"&amp;TEXT(EDATE($A$2,-5),"aa")</f>
        <v>ago.-24</v>
      </c>
      <c r="K120" s="116" t="str">
        <f>TEXT(EDATE($A$2,-4),"mmm")&amp;".-"&amp;TEXT(EDATE($A$2,-4),"aa")</f>
        <v>sep.-24</v>
      </c>
      <c r="L120" s="116" t="str">
        <f>TEXT(EDATE($A$2,-3),"mmm")&amp;".-"&amp;TEXT(EDATE($A$2,-3),"aa")</f>
        <v>oct.-24</v>
      </c>
      <c r="M120" s="116" t="str">
        <f>TEXT(EDATE($A$2,-2),"mmm")&amp;".-"&amp;TEXT(EDATE($A$2,-2),"aa")</f>
        <v>nov.-24</v>
      </c>
      <c r="N120" s="116" t="str">
        <f>TEXT(EDATE($A$2,-1),"mmm")&amp;".-"&amp;TEXT(EDATE($A$2,-1),"aa")</f>
        <v>dic.-24</v>
      </c>
      <c r="O120" s="136" t="str">
        <f>TEXT($A$2,"mmm")&amp;".-"&amp;TEXT($A$2,"aa")</f>
        <v>ene.-25</v>
      </c>
    </row>
    <row r="121" spans="1:26">
      <c r="A121" s="209" t="s">
        <v>68</v>
      </c>
      <c r="B121" s="117" t="s">
        <v>11</v>
      </c>
      <c r="C121" s="118">
        <f t="shared" ref="C121:O121" si="7">HLOOKUP(C$119,$86:$103,3,FALSE)</f>
        <v>0</v>
      </c>
      <c r="D121" s="118">
        <f t="shared" si="7"/>
        <v>0</v>
      </c>
      <c r="E121" s="118">
        <f t="shared" si="7"/>
        <v>0</v>
      </c>
      <c r="F121" s="118">
        <f t="shared" si="7"/>
        <v>0</v>
      </c>
      <c r="G121" s="118">
        <f t="shared" si="7"/>
        <v>25.151703999999999</v>
      </c>
      <c r="H121" s="118">
        <f t="shared" si="7"/>
        <v>29.836832000000001</v>
      </c>
      <c r="I121" s="118">
        <f t="shared" si="7"/>
        <v>3.0622039999999999</v>
      </c>
      <c r="J121" s="118">
        <f t="shared" si="7"/>
        <v>0</v>
      </c>
      <c r="K121" s="118">
        <f t="shared" si="7"/>
        <v>0</v>
      </c>
      <c r="L121" s="118">
        <f t="shared" si="7"/>
        <v>0</v>
      </c>
      <c r="M121" s="118">
        <f t="shared" si="7"/>
        <v>0</v>
      </c>
      <c r="N121" s="118">
        <f t="shared" si="7"/>
        <v>0</v>
      </c>
      <c r="O121" s="119">
        <f t="shared" si="7"/>
        <v>4.6319679999999996</v>
      </c>
    </row>
    <row r="122" spans="1:26">
      <c r="A122" s="210"/>
      <c r="B122" s="102" t="s">
        <v>10</v>
      </c>
      <c r="C122" s="104">
        <f t="shared" ref="C122:O122" si="8">HLOOKUP(C$119,$86:$103,4,FALSE)</f>
        <v>6.1979410000000001</v>
      </c>
      <c r="D122" s="104">
        <f t="shared" si="8"/>
        <v>5.7004010000000003</v>
      </c>
      <c r="E122" s="104">
        <f t="shared" si="8"/>
        <v>6.2874660000000002</v>
      </c>
      <c r="F122" s="104">
        <f t="shared" si="8"/>
        <v>18.937709000000002</v>
      </c>
      <c r="G122" s="104">
        <f t="shared" si="8"/>
        <v>12.634096</v>
      </c>
      <c r="H122" s="104">
        <f t="shared" si="8"/>
        <v>18.518857000000001</v>
      </c>
      <c r="I122" s="104">
        <f t="shared" si="8"/>
        <v>51.657288000000001</v>
      </c>
      <c r="J122" s="104">
        <f t="shared" si="8"/>
        <v>63.154792</v>
      </c>
      <c r="K122" s="104">
        <f t="shared" si="8"/>
        <v>37.101396999999999</v>
      </c>
      <c r="L122" s="104">
        <f t="shared" si="8"/>
        <v>25.321735</v>
      </c>
      <c r="M122" s="104">
        <f t="shared" si="8"/>
        <v>8.0420429999999996</v>
      </c>
      <c r="N122" s="104">
        <f t="shared" si="8"/>
        <v>8.2701910000000005</v>
      </c>
      <c r="O122" s="119">
        <f t="shared" si="8"/>
        <v>8.5854890000000008</v>
      </c>
    </row>
    <row r="123" spans="1:26">
      <c r="A123" s="210"/>
      <c r="B123" s="102" t="s">
        <v>9</v>
      </c>
      <c r="C123" s="104">
        <f t="shared" ref="C123:O123" si="9">HLOOKUP(C$119,$86:$103,5,FALSE)</f>
        <v>25.499687000000002</v>
      </c>
      <c r="D123" s="104">
        <f t="shared" si="9"/>
        <v>24.103729999999999</v>
      </c>
      <c r="E123" s="104">
        <f t="shared" si="9"/>
        <v>25.225477999999999</v>
      </c>
      <c r="F123" s="104">
        <f t="shared" si="9"/>
        <v>29.829684</v>
      </c>
      <c r="G123" s="104">
        <f t="shared" si="9"/>
        <v>29.728614</v>
      </c>
      <c r="H123" s="104">
        <f t="shared" si="9"/>
        <v>43.667929999999998</v>
      </c>
      <c r="I123" s="104">
        <f t="shared" si="9"/>
        <v>52.690387999999999</v>
      </c>
      <c r="J123" s="104">
        <f t="shared" si="9"/>
        <v>57.984402000000003</v>
      </c>
      <c r="K123" s="104">
        <f t="shared" si="9"/>
        <v>36.627740000000003</v>
      </c>
      <c r="L123" s="104">
        <f t="shared" si="9"/>
        <v>40.918340000000001</v>
      </c>
      <c r="M123" s="104">
        <f t="shared" si="9"/>
        <v>22.217787999999999</v>
      </c>
      <c r="N123" s="104">
        <f t="shared" si="9"/>
        <v>25.456890999999999</v>
      </c>
      <c r="O123" s="119">
        <f t="shared" si="9"/>
        <v>23.827804</v>
      </c>
    </row>
    <row r="124" spans="1:26" ht="14.25">
      <c r="A124" s="210"/>
      <c r="B124" s="102" t="s">
        <v>66</v>
      </c>
      <c r="C124" s="104">
        <f t="shared" ref="C124:O124" si="10">HLOOKUP(C$119,$86:$103,6,FALSE)</f>
        <v>245.660033</v>
      </c>
      <c r="D124" s="104">
        <f t="shared" si="10"/>
        <v>219.76708199999999</v>
      </c>
      <c r="E124" s="104">
        <f t="shared" si="10"/>
        <v>214.68396200000001</v>
      </c>
      <c r="F124" s="104">
        <f t="shared" si="10"/>
        <v>206.60469800000001</v>
      </c>
      <c r="G124" s="104">
        <f t="shared" si="10"/>
        <v>207.90606</v>
      </c>
      <c r="H124" s="104">
        <f t="shared" si="10"/>
        <v>213.69113200000001</v>
      </c>
      <c r="I124" s="104">
        <f t="shared" si="10"/>
        <v>274.34556800000001</v>
      </c>
      <c r="J124" s="104">
        <f t="shared" si="10"/>
        <v>334.32576699999998</v>
      </c>
      <c r="K124" s="104">
        <f t="shared" si="10"/>
        <v>246.11744899999999</v>
      </c>
      <c r="L124" s="104">
        <f t="shared" si="10"/>
        <v>233.64673300000001</v>
      </c>
      <c r="M124" s="104">
        <f t="shared" si="10"/>
        <v>228.35513399999999</v>
      </c>
      <c r="N124" s="104">
        <f t="shared" si="10"/>
        <v>287.61223999999999</v>
      </c>
      <c r="O124" s="119">
        <f t="shared" si="10"/>
        <v>284.762474</v>
      </c>
    </row>
    <row r="125" spans="1:26">
      <c r="A125" s="210"/>
      <c r="B125" s="102" t="s">
        <v>24</v>
      </c>
      <c r="C125" s="104">
        <f t="shared" ref="C125:O125" si="11">HLOOKUP(C$119,$86:$103,7,FALSE)</f>
        <v>0</v>
      </c>
      <c r="D125" s="104">
        <f t="shared" si="11"/>
        <v>0</v>
      </c>
      <c r="E125" s="104">
        <f t="shared" si="11"/>
        <v>0</v>
      </c>
      <c r="F125" s="104">
        <f t="shared" si="11"/>
        <v>0</v>
      </c>
      <c r="G125" s="104">
        <f t="shared" si="11"/>
        <v>0</v>
      </c>
      <c r="H125" s="104">
        <f t="shared" si="11"/>
        <v>0</v>
      </c>
      <c r="I125" s="104">
        <f t="shared" si="11"/>
        <v>0</v>
      </c>
      <c r="J125" s="104">
        <f t="shared" si="11"/>
        <v>0</v>
      </c>
      <c r="K125" s="104">
        <f t="shared" si="11"/>
        <v>0</v>
      </c>
      <c r="L125" s="104">
        <f t="shared" si="11"/>
        <v>0</v>
      </c>
      <c r="M125" s="104">
        <f t="shared" si="11"/>
        <v>0</v>
      </c>
      <c r="N125" s="104">
        <f t="shared" si="11"/>
        <v>0</v>
      </c>
      <c r="O125" s="119">
        <f t="shared" si="11"/>
        <v>0</v>
      </c>
    </row>
    <row r="126" spans="1:26">
      <c r="A126" s="210"/>
      <c r="B126" s="102" t="s">
        <v>5</v>
      </c>
      <c r="C126" s="104">
        <f t="shared" ref="C126:O126" si="12">HLOOKUP(C$119,$86:$104,8,FALSE)</f>
        <v>0</v>
      </c>
      <c r="D126" s="104">
        <f t="shared" si="12"/>
        <v>0</v>
      </c>
      <c r="E126" s="104">
        <f t="shared" si="12"/>
        <v>0</v>
      </c>
      <c r="F126" s="104">
        <f t="shared" si="12"/>
        <v>0</v>
      </c>
      <c r="G126" s="104">
        <f t="shared" si="12"/>
        <v>0</v>
      </c>
      <c r="H126" s="104">
        <f t="shared" si="12"/>
        <v>0</v>
      </c>
      <c r="I126" s="104">
        <f t="shared" si="12"/>
        <v>0</v>
      </c>
      <c r="J126" s="104">
        <f t="shared" si="12"/>
        <v>0</v>
      </c>
      <c r="K126" s="104">
        <f t="shared" si="12"/>
        <v>0</v>
      </c>
      <c r="L126" s="104">
        <f t="shared" si="12"/>
        <v>0</v>
      </c>
      <c r="M126" s="104">
        <f t="shared" si="12"/>
        <v>0</v>
      </c>
      <c r="N126" s="104">
        <f t="shared" si="12"/>
        <v>0</v>
      </c>
      <c r="O126" s="119">
        <f t="shared" si="12"/>
        <v>0</v>
      </c>
    </row>
    <row r="127" spans="1:26">
      <c r="A127" s="210"/>
      <c r="B127" s="102" t="s">
        <v>4</v>
      </c>
      <c r="C127" s="104">
        <f t="shared" ref="C127:O127" si="13">HLOOKUP(C$119,$86:$104,9,FALSE)</f>
        <v>24.205653000000002</v>
      </c>
      <c r="D127" s="104">
        <f t="shared" si="13"/>
        <v>30.786093000000001</v>
      </c>
      <c r="E127" s="104">
        <f t="shared" si="13"/>
        <v>45.328431999999999</v>
      </c>
      <c r="F127" s="104">
        <f t="shared" si="13"/>
        <v>44.651336999999998</v>
      </c>
      <c r="G127" s="104">
        <f t="shared" si="13"/>
        <v>58.329237999999997</v>
      </c>
      <c r="H127" s="104">
        <f t="shared" si="13"/>
        <v>53.302475000000001</v>
      </c>
      <c r="I127" s="104">
        <f t="shared" si="13"/>
        <v>60.169364999999999</v>
      </c>
      <c r="J127" s="104">
        <f t="shared" si="13"/>
        <v>55.465451999999999</v>
      </c>
      <c r="K127" s="104">
        <f t="shared" si="13"/>
        <v>43.998294999999999</v>
      </c>
      <c r="L127" s="104">
        <f t="shared" si="13"/>
        <v>38.814532</v>
      </c>
      <c r="M127" s="104">
        <f t="shared" si="13"/>
        <v>26.937676</v>
      </c>
      <c r="N127" s="104">
        <f t="shared" si="13"/>
        <v>24.958469999999998</v>
      </c>
      <c r="O127" s="119">
        <f t="shared" si="13"/>
        <v>27.699960999999998</v>
      </c>
    </row>
    <row r="128" spans="1:26">
      <c r="A128" s="210"/>
      <c r="B128" s="110" t="s">
        <v>22</v>
      </c>
      <c r="C128" s="104">
        <f t="shared" ref="C128:O128" si="14">HLOOKUP(C$119,$86:$104,10,FALSE)</f>
        <v>0.10423</v>
      </c>
      <c r="D128" s="104">
        <f t="shared" si="14"/>
        <v>3.9530000000000003E-2</v>
      </c>
      <c r="E128" s="104">
        <f t="shared" si="14"/>
        <v>4.0002000000000003E-2</v>
      </c>
      <c r="F128" s="104">
        <f t="shared" si="14"/>
        <v>1.5544000000000001E-2</v>
      </c>
      <c r="G128" s="104">
        <f t="shared" si="14"/>
        <v>4.1384999999999998E-2</v>
      </c>
      <c r="H128" s="104">
        <f t="shared" si="14"/>
        <v>7.8099000000000002E-2</v>
      </c>
      <c r="I128" s="104">
        <f t="shared" si="14"/>
        <v>0.18402499999999999</v>
      </c>
      <c r="J128" s="104">
        <f t="shared" si="14"/>
        <v>0.28992600000000002</v>
      </c>
      <c r="K128" s="104">
        <f t="shared" si="14"/>
        <v>0.364813</v>
      </c>
      <c r="L128" s="104">
        <f t="shared" si="14"/>
        <v>0.34994999999999998</v>
      </c>
      <c r="M128" s="104">
        <f t="shared" si="14"/>
        <v>0.27039800000000003</v>
      </c>
      <c r="N128" s="104">
        <f t="shared" si="14"/>
        <v>0.23000100000000001</v>
      </c>
      <c r="O128" s="119">
        <f t="shared" si="14"/>
        <v>0.256185</v>
      </c>
    </row>
    <row r="129" spans="1:15">
      <c r="A129" s="210"/>
      <c r="B129" s="110" t="s">
        <v>23</v>
      </c>
      <c r="C129" s="104">
        <f t="shared" ref="C129:O129" si="15">HLOOKUP(C$119,$86:$104,11,FALSE)</f>
        <v>3.9370180000000001</v>
      </c>
      <c r="D129" s="104">
        <f t="shared" si="15"/>
        <v>3.7397490000000002</v>
      </c>
      <c r="E129" s="104">
        <f t="shared" si="15"/>
        <v>3.4851179999999999</v>
      </c>
      <c r="F129" s="104">
        <f t="shared" si="15"/>
        <v>1.9095409999999999</v>
      </c>
      <c r="G129" s="104">
        <f t="shared" si="15"/>
        <v>3.5397620000000001</v>
      </c>
      <c r="H129" s="104">
        <f t="shared" si="15"/>
        <v>3.4609559999999999</v>
      </c>
      <c r="I129" s="104">
        <f t="shared" si="15"/>
        <v>3.2774670000000001</v>
      </c>
      <c r="J129" s="104">
        <f t="shared" si="15"/>
        <v>3.1243509999999999</v>
      </c>
      <c r="K129" s="104">
        <f t="shared" si="15"/>
        <v>2.778902</v>
      </c>
      <c r="L129" s="104">
        <f t="shared" si="15"/>
        <v>2.2852030000000001</v>
      </c>
      <c r="M129" s="104">
        <f t="shared" si="15"/>
        <v>1.8790750000000001</v>
      </c>
      <c r="N129" s="104">
        <f t="shared" si="15"/>
        <v>3.2668629999999999</v>
      </c>
      <c r="O129" s="119">
        <f t="shared" si="15"/>
        <v>3.6863090000000001</v>
      </c>
    </row>
    <row r="130" spans="1:15">
      <c r="A130" s="210"/>
      <c r="B130" s="102" t="s">
        <v>47</v>
      </c>
      <c r="C130" s="104">
        <f t="shared" ref="C130:O130" si="16">HLOOKUP(C$119,$86:$104,13,FALSE)</f>
        <v>10.485035</v>
      </c>
      <c r="D130" s="104">
        <f t="shared" si="16"/>
        <v>5.6085469999999997</v>
      </c>
      <c r="E130" s="104">
        <f t="shared" si="16"/>
        <v>12.829401000000001</v>
      </c>
      <c r="F130" s="104">
        <f t="shared" si="16"/>
        <v>11.323399</v>
      </c>
      <c r="G130" s="104">
        <f t="shared" si="16"/>
        <v>12.2750895</v>
      </c>
      <c r="H130" s="104">
        <f t="shared" si="16"/>
        <v>16.584269500000001</v>
      </c>
      <c r="I130" s="104">
        <f t="shared" si="16"/>
        <v>15.726691000000001</v>
      </c>
      <c r="J130" s="104">
        <f t="shared" si="16"/>
        <v>15.578734000000001</v>
      </c>
      <c r="K130" s="104">
        <f t="shared" si="16"/>
        <v>14.1961285</v>
      </c>
      <c r="L130" s="104">
        <f t="shared" si="16"/>
        <v>9.2427220000000005</v>
      </c>
      <c r="M130" s="104">
        <f t="shared" si="16"/>
        <v>9.5122354999999992</v>
      </c>
      <c r="N130" s="104">
        <f t="shared" si="16"/>
        <v>12.261645</v>
      </c>
      <c r="O130" s="119">
        <f t="shared" si="16"/>
        <v>10.134332000000001</v>
      </c>
    </row>
    <row r="131" spans="1:15">
      <c r="A131" s="210"/>
      <c r="B131" s="102" t="s">
        <v>46</v>
      </c>
      <c r="C131" s="104">
        <f t="shared" ref="C131:O131" si="17">HLOOKUP(C$119,$86:$104,12,FALSE)</f>
        <v>10.485035</v>
      </c>
      <c r="D131" s="104">
        <f t="shared" si="17"/>
        <v>5.6085469999999997</v>
      </c>
      <c r="E131" s="104">
        <f t="shared" si="17"/>
        <v>12.829401000000001</v>
      </c>
      <c r="F131" s="104">
        <f t="shared" si="17"/>
        <v>11.323399</v>
      </c>
      <c r="G131" s="104">
        <f t="shared" si="17"/>
        <v>12.2750895</v>
      </c>
      <c r="H131" s="104">
        <f t="shared" si="17"/>
        <v>16.584269500000001</v>
      </c>
      <c r="I131" s="104">
        <f t="shared" si="17"/>
        <v>15.726691000000001</v>
      </c>
      <c r="J131" s="104">
        <f t="shared" si="17"/>
        <v>15.578734000000001</v>
      </c>
      <c r="K131" s="104">
        <f t="shared" si="17"/>
        <v>14.1961285</v>
      </c>
      <c r="L131" s="104">
        <f t="shared" si="17"/>
        <v>9.2427220000000005</v>
      </c>
      <c r="M131" s="104">
        <f t="shared" si="17"/>
        <v>9.5122354999999992</v>
      </c>
      <c r="N131" s="104">
        <f t="shared" si="17"/>
        <v>12.261645</v>
      </c>
      <c r="O131" s="119">
        <f t="shared" si="17"/>
        <v>10.134332000000001</v>
      </c>
    </row>
    <row r="132" spans="1:15">
      <c r="A132" s="210"/>
      <c r="B132" s="111" t="s">
        <v>2</v>
      </c>
      <c r="C132" s="175">
        <f t="shared" ref="C132:O132" si="18">HLOOKUP(C$119,$86:$104,14,FALSE)</f>
        <v>326.57463200000001</v>
      </c>
      <c r="D132" s="175">
        <f t="shared" si="18"/>
        <v>295.353679</v>
      </c>
      <c r="E132" s="175">
        <f t="shared" si="18"/>
        <v>320.70925999999997</v>
      </c>
      <c r="F132" s="175">
        <f t="shared" si="18"/>
        <v>324.59531099999998</v>
      </c>
      <c r="G132" s="175">
        <f t="shared" si="18"/>
        <v>361.88103799999999</v>
      </c>
      <c r="H132" s="175">
        <f t="shared" si="18"/>
        <v>395.72482000000002</v>
      </c>
      <c r="I132" s="175">
        <f t="shared" si="18"/>
        <v>476.83968700000003</v>
      </c>
      <c r="J132" s="175">
        <f t="shared" si="18"/>
        <v>545.50215800000001</v>
      </c>
      <c r="K132" s="175">
        <f t="shared" si="18"/>
        <v>395.380853</v>
      </c>
      <c r="L132" s="175">
        <f t="shared" si="18"/>
        <v>359.82193699999999</v>
      </c>
      <c r="M132" s="175">
        <f t="shared" si="18"/>
        <v>306.726585</v>
      </c>
      <c r="N132" s="175">
        <f t="shared" si="18"/>
        <v>374.31794600000001</v>
      </c>
      <c r="O132" s="176">
        <f t="shared" si="18"/>
        <v>373.71885400000002</v>
      </c>
    </row>
    <row r="133" spans="1:15">
      <c r="A133" s="210"/>
      <c r="B133" s="102" t="s">
        <v>111</v>
      </c>
      <c r="C133" s="104">
        <f>HLOOKUP(C$119,$86:$104,15,FALSE)</f>
        <v>2.9220000000000001E-3</v>
      </c>
      <c r="D133" s="104">
        <f t="shared" ref="D133:O133" si="19">HLOOKUP(D$119,$86:$104,15,FALSE)</f>
        <v>0</v>
      </c>
      <c r="E133" s="104">
        <f t="shared" si="19"/>
        <v>2.3219999999999998E-3</v>
      </c>
      <c r="F133" s="104">
        <f t="shared" si="19"/>
        <v>0</v>
      </c>
      <c r="G133" s="104">
        <f t="shared" si="19"/>
        <v>8.5810000000000001E-3</v>
      </c>
      <c r="H133" s="104">
        <f t="shared" si="19"/>
        <v>1.8225999999999999E-2</v>
      </c>
      <c r="I133" s="104">
        <f t="shared" si="19"/>
        <v>0</v>
      </c>
      <c r="J133" s="104">
        <f t="shared" si="19"/>
        <v>0</v>
      </c>
      <c r="K133" s="104">
        <f t="shared" si="19"/>
        <v>4.75E-4</v>
      </c>
      <c r="L133" s="104">
        <f t="shared" si="19"/>
        <v>5.6973000000000003E-2</v>
      </c>
      <c r="M133" s="104">
        <f t="shared" si="19"/>
        <v>4.3603000000000003E-2</v>
      </c>
      <c r="N133" s="104">
        <f t="shared" si="19"/>
        <v>1.0196999999999999E-2</v>
      </c>
      <c r="O133" s="178">
        <f t="shared" si="19"/>
        <v>5.3210000000000002E-3</v>
      </c>
    </row>
    <row r="134" spans="1:15">
      <c r="A134" s="210"/>
      <c r="B134" s="102" t="s">
        <v>112</v>
      </c>
      <c r="C134" s="104">
        <f>HLOOKUP(C$119,$86:$104,16,FALSE)</f>
        <v>-2.2768E-2</v>
      </c>
      <c r="D134" s="104">
        <f t="shared" ref="D134:O134" si="20">HLOOKUP(D$119,$86:$104,16,FALSE)</f>
        <v>-1.0208999999999999E-2</v>
      </c>
      <c r="E134" s="104">
        <f t="shared" si="20"/>
        <v>-3.2804E-2</v>
      </c>
      <c r="F134" s="104">
        <f t="shared" si="20"/>
        <v>-4.0090000000000004E-3</v>
      </c>
      <c r="G134" s="104">
        <f t="shared" si="20"/>
        <v>-3.6989000000000001E-2</v>
      </c>
      <c r="H134" s="104">
        <f t="shared" si="20"/>
        <v>-6.3725000000000004E-2</v>
      </c>
      <c r="I134" s="104">
        <f t="shared" si="20"/>
        <v>-5.3999999999999998E-5</v>
      </c>
      <c r="J134" s="104">
        <f t="shared" si="20"/>
        <v>-1.776E-3</v>
      </c>
      <c r="K134" s="104">
        <f t="shared" si="20"/>
        <v>-9.0050000000000009E-3</v>
      </c>
      <c r="L134" s="104">
        <f t="shared" si="20"/>
        <v>-0.12790699999999999</v>
      </c>
      <c r="M134" s="104">
        <f t="shared" si="20"/>
        <v>-8.7809999999999999E-2</v>
      </c>
      <c r="N134" s="104">
        <f t="shared" si="20"/>
        <v>-2.4122000000000001E-2</v>
      </c>
      <c r="O134" s="179">
        <f t="shared" si="20"/>
        <v>-2.0024E-2</v>
      </c>
    </row>
    <row r="135" spans="1:15">
      <c r="A135" s="210"/>
      <c r="B135" s="102" t="s">
        <v>21</v>
      </c>
      <c r="C135" s="177">
        <f>HLOOKUP(C$119,$86:$104,17,FALSE)</f>
        <v>122.760274</v>
      </c>
      <c r="D135" s="177">
        <f t="shared" ref="D135:O135" si="21">HLOOKUP(D$119,$86:$104,17,FALSE)</f>
        <v>114.74408200000001</v>
      </c>
      <c r="E135" s="177">
        <f t="shared" si="21"/>
        <v>110.667727</v>
      </c>
      <c r="F135" s="177">
        <f t="shared" si="21"/>
        <v>109.36235000000001</v>
      </c>
      <c r="G135" s="177">
        <f t="shared" si="21"/>
        <v>117.764884</v>
      </c>
      <c r="H135" s="177">
        <f t="shared" si="21"/>
        <v>145.36358899999999</v>
      </c>
      <c r="I135" s="177">
        <f t="shared" si="21"/>
        <v>208.454387</v>
      </c>
      <c r="J135" s="177">
        <f t="shared" si="21"/>
        <v>187.956546</v>
      </c>
      <c r="K135" s="177">
        <f t="shared" si="21"/>
        <v>162.00915900000001</v>
      </c>
      <c r="L135" s="177">
        <f t="shared" si="21"/>
        <v>144.54443599999999</v>
      </c>
      <c r="M135" s="177">
        <f t="shared" si="21"/>
        <v>78.195680999999993</v>
      </c>
      <c r="N135" s="177">
        <f t="shared" si="21"/>
        <v>77.984769</v>
      </c>
      <c r="O135" s="180">
        <f t="shared" si="21"/>
        <v>85.443509000000006</v>
      </c>
    </row>
    <row r="136" spans="1:15">
      <c r="A136" s="210"/>
      <c r="B136" s="112" t="s">
        <v>1</v>
      </c>
      <c r="C136" s="113">
        <f>HLOOKUP(C$119,$86:$104,18,FALSE)</f>
        <v>449.31506000000002</v>
      </c>
      <c r="D136" s="113">
        <f t="shared" ref="D136:O136" si="22">HLOOKUP(D$119,$86:$104,18,FALSE)</f>
        <v>410.08755200000002</v>
      </c>
      <c r="E136" s="113">
        <f t="shared" si="22"/>
        <v>431.34650499999998</v>
      </c>
      <c r="F136" s="113">
        <f t="shared" si="22"/>
        <v>433.95365199999998</v>
      </c>
      <c r="G136" s="113">
        <f t="shared" si="22"/>
        <v>479.61751400000003</v>
      </c>
      <c r="H136" s="113">
        <f t="shared" si="22"/>
        <v>541.04291000000001</v>
      </c>
      <c r="I136" s="113">
        <f t="shared" si="22"/>
        <v>685.29402000000005</v>
      </c>
      <c r="J136" s="113">
        <f t="shared" si="22"/>
        <v>733.45692799999995</v>
      </c>
      <c r="K136" s="113">
        <f t="shared" si="22"/>
        <v>557.38148200000001</v>
      </c>
      <c r="L136" s="113">
        <f t="shared" si="22"/>
        <v>504.29543899999999</v>
      </c>
      <c r="M136" s="113">
        <f t="shared" si="22"/>
        <v>384.87805900000001</v>
      </c>
      <c r="N136" s="113">
        <f t="shared" si="22"/>
        <v>452.28879000000001</v>
      </c>
      <c r="O136" s="181">
        <f t="shared" si="22"/>
        <v>459.14765999999997</v>
      </c>
    </row>
    <row r="137" spans="1:15" ht="14.25">
      <c r="A137" s="211"/>
      <c r="B137" s="120" t="s">
        <v>67</v>
      </c>
      <c r="C137" s="121">
        <f>C122+C123+C125</f>
        <v>31.697628000000002</v>
      </c>
      <c r="D137" s="121">
        <f>D122+D123+D125</f>
        <v>29.804130999999998</v>
      </c>
      <c r="E137" s="121">
        <f t="shared" ref="E137:O137" si="23">E122+E123+E125</f>
        <v>31.512943999999997</v>
      </c>
      <c r="F137" s="121">
        <f t="shared" si="23"/>
        <v>48.767392999999998</v>
      </c>
      <c r="G137" s="121">
        <f t="shared" si="23"/>
        <v>42.36271</v>
      </c>
      <c r="H137" s="121">
        <f t="shared" si="23"/>
        <v>62.186786999999995</v>
      </c>
      <c r="I137" s="121">
        <f t="shared" si="23"/>
        <v>104.34767600000001</v>
      </c>
      <c r="J137" s="121">
        <f t="shared" si="23"/>
        <v>121.139194</v>
      </c>
      <c r="K137" s="121">
        <f t="shared" si="23"/>
        <v>73.729137000000009</v>
      </c>
      <c r="L137" s="121">
        <f t="shared" si="23"/>
        <v>66.240075000000004</v>
      </c>
      <c r="M137" s="121">
        <f t="shared" si="23"/>
        <v>30.259830999999998</v>
      </c>
      <c r="N137" s="121">
        <f t="shared" si="23"/>
        <v>33.727081999999996</v>
      </c>
      <c r="O137" s="121">
        <f t="shared" si="23"/>
        <v>32.413293000000003</v>
      </c>
    </row>
    <row r="138" spans="1:15" ht="13.9" customHeight="1">
      <c r="A138" s="209" t="s">
        <v>69</v>
      </c>
      <c r="B138" s="122" t="s">
        <v>65</v>
      </c>
      <c r="C138" s="108" t="str">
        <f>TEXT(EDATE($A$2,-12),"mmm")&amp;".-"&amp;TEXT(EDATE($A$2,-12),"aa")</f>
        <v>ene.-24</v>
      </c>
      <c r="D138" s="108" t="str">
        <f>TEXT(EDATE($A$2,-11),"mmm")&amp;".-"&amp;TEXT(EDATE($A$2,-11),"aa")</f>
        <v>feb.-24</v>
      </c>
      <c r="E138" s="108" t="str">
        <f>TEXT(EDATE($A$2,-10),"mmm")&amp;".-"&amp;TEXT(EDATE($A$2,-10),"aa")</f>
        <v>mar.-24</v>
      </c>
      <c r="F138" s="108" t="str">
        <f>TEXT(EDATE($A$2,-9),"mmm")&amp;".-"&amp;TEXT(EDATE($A$2,-9),"aa")</f>
        <v>abr.-24</v>
      </c>
      <c r="G138" s="108" t="str">
        <f>TEXT(EDATE($A$2,-8),"mmm")&amp;".-"&amp;TEXT(EDATE($A$2,-8),"aa")</f>
        <v>may.-24</v>
      </c>
      <c r="H138" s="108" t="str">
        <f>TEXT(EDATE($A$2,-7),"mmm")&amp;".-"&amp;TEXT(EDATE($A$2,-7),"aa")</f>
        <v>jun.-24</v>
      </c>
      <c r="I138" s="108" t="str">
        <f>TEXT(EDATE($A$2,-6),"mmm")&amp;".-"&amp;TEXT(EDATE($A$2,-6),"aa")</f>
        <v>jul.-24</v>
      </c>
      <c r="J138" s="108" t="str">
        <f>TEXT(EDATE($A$2,-5),"mmm")&amp;".-"&amp;TEXT(EDATE($A$2,-5),"aa")</f>
        <v>ago.-24</v>
      </c>
      <c r="K138" s="108" t="str">
        <f>TEXT(EDATE($A$2,-4),"mmm")&amp;".-"&amp;TEXT(EDATE($A$2,-4),"aa")</f>
        <v>sep.-24</v>
      </c>
      <c r="L138" s="108" t="str">
        <f>TEXT(EDATE($A$2,-3),"mmm")&amp;".-"&amp;TEXT(EDATE($A$2,-3),"aa")</f>
        <v>oct.-24</v>
      </c>
      <c r="M138" s="108" t="str">
        <f>TEXT(EDATE($A$2,-2),"mmm")&amp;".-"&amp;TEXT(EDATE($A$2,-2),"aa")</f>
        <v>nov.-24</v>
      </c>
      <c r="N138" s="108" t="str">
        <f>TEXT(EDATE($A$2,-1),"mmm")&amp;".-"&amp;TEXT(EDATE($A$2,-1),"aa")</f>
        <v>dic.-24</v>
      </c>
      <c r="O138" s="109" t="str">
        <f>TEXT($A$2,"mmm")&amp;".-"&amp;TEXT($A$2,"aa")</f>
        <v>ene.-25</v>
      </c>
    </row>
    <row r="139" spans="1:15" ht="15" customHeight="1">
      <c r="A139" s="210"/>
      <c r="B139" s="102" t="s">
        <v>12</v>
      </c>
      <c r="C139" s="104">
        <f>HLOOKUP(C$119,$86:$117,19,FALSE)</f>
        <v>0.29624200000000001</v>
      </c>
      <c r="D139" s="104">
        <f t="shared" ref="D139:O139" si="24">HLOOKUP(D$119,$86:$117,19,FALSE)</f>
        <v>0.28508299999999998</v>
      </c>
      <c r="E139" s="104">
        <f t="shared" si="24"/>
        <v>0.272924</v>
      </c>
      <c r="F139" s="104">
        <f t="shared" si="24"/>
        <v>0.258407</v>
      </c>
      <c r="G139" s="104">
        <f t="shared" si="24"/>
        <v>0.28213199999999999</v>
      </c>
      <c r="H139" s="104">
        <f t="shared" si="24"/>
        <v>0.27541500000000002</v>
      </c>
      <c r="I139" s="104">
        <f t="shared" si="24"/>
        <v>0.290603</v>
      </c>
      <c r="J139" s="104">
        <f t="shared" si="24"/>
        <v>0.28181699999999998</v>
      </c>
      <c r="K139" s="104">
        <f t="shared" si="24"/>
        <v>0.27621200000000001</v>
      </c>
      <c r="L139" s="104">
        <f t="shared" si="24"/>
        <v>0.29845300000000002</v>
      </c>
      <c r="M139" s="104">
        <f t="shared" si="24"/>
        <v>0.28431800000000002</v>
      </c>
      <c r="N139" s="104">
        <f t="shared" si="24"/>
        <v>0.28783500000000001</v>
      </c>
      <c r="O139" s="137">
        <f t="shared" si="24"/>
        <v>0.285242</v>
      </c>
    </row>
    <row r="140" spans="1:15" ht="13.9" customHeight="1">
      <c r="A140" s="210"/>
      <c r="B140" s="102" t="s">
        <v>10</v>
      </c>
      <c r="C140" s="104">
        <f>HLOOKUP(C$119,$86:$117,20,FALSE)</f>
        <v>169.88187400000001</v>
      </c>
      <c r="D140" s="104">
        <f t="shared" ref="D140:O140" si="25">HLOOKUP(D$119,$86:$117,20,FALSE)</f>
        <v>150.50368700000001</v>
      </c>
      <c r="E140" s="104">
        <f t="shared" si="25"/>
        <v>159.11780200000001</v>
      </c>
      <c r="F140" s="104">
        <f t="shared" si="25"/>
        <v>147.29312100000001</v>
      </c>
      <c r="G140" s="104">
        <f t="shared" si="25"/>
        <v>146.28192000000001</v>
      </c>
      <c r="H140" s="104">
        <f t="shared" si="25"/>
        <v>150.704353</v>
      </c>
      <c r="I140" s="104">
        <f t="shared" si="25"/>
        <v>160.623885</v>
      </c>
      <c r="J140" s="104">
        <f t="shared" si="25"/>
        <v>152.78751800000001</v>
      </c>
      <c r="K140" s="104">
        <f t="shared" si="25"/>
        <v>158.02361400000001</v>
      </c>
      <c r="L140" s="104">
        <f t="shared" si="25"/>
        <v>161.225874</v>
      </c>
      <c r="M140" s="104">
        <f t="shared" si="25"/>
        <v>162.623898</v>
      </c>
      <c r="N140" s="104">
        <f t="shared" si="25"/>
        <v>158.879446</v>
      </c>
      <c r="O140" s="119">
        <f t="shared" si="25"/>
        <v>164.446281</v>
      </c>
    </row>
    <row r="141" spans="1:15" ht="13.9" customHeight="1">
      <c r="A141" s="210"/>
      <c r="B141" s="102" t="s">
        <v>9</v>
      </c>
      <c r="C141" s="104">
        <f>HLOOKUP(C$119,$86:$117,21,FALSE)</f>
        <v>28.281392</v>
      </c>
      <c r="D141" s="104">
        <f t="shared" ref="D141:O141" si="26">HLOOKUP(D$119,$86:$117,21,FALSE)</f>
        <v>23.554095</v>
      </c>
      <c r="E141" s="104">
        <f t="shared" si="26"/>
        <v>23.025227000000001</v>
      </c>
      <c r="F141" s="104">
        <f t="shared" si="26"/>
        <v>15.266852</v>
      </c>
      <c r="G141" s="104">
        <f t="shared" si="26"/>
        <v>13.422698</v>
      </c>
      <c r="H141" s="104">
        <f t="shared" si="26"/>
        <v>26.814177000000001</v>
      </c>
      <c r="I141" s="104">
        <f t="shared" si="26"/>
        <v>16.554684000000002</v>
      </c>
      <c r="J141" s="104">
        <f t="shared" si="26"/>
        <v>15.849519000000001</v>
      </c>
      <c r="K141" s="104">
        <f t="shared" si="26"/>
        <v>24.502908999999999</v>
      </c>
      <c r="L141" s="104">
        <f t="shared" si="26"/>
        <v>16.364426999999999</v>
      </c>
      <c r="M141" s="104">
        <f t="shared" si="26"/>
        <v>29.713279</v>
      </c>
      <c r="N141" s="104">
        <f t="shared" si="26"/>
        <v>20.429556000000002</v>
      </c>
      <c r="O141" s="119">
        <f t="shared" si="26"/>
        <v>37.045735999999998</v>
      </c>
    </row>
    <row r="142" spans="1:15" ht="13.9" customHeight="1">
      <c r="A142" s="210"/>
      <c r="B142" s="102" t="s">
        <v>8</v>
      </c>
      <c r="C142" s="104">
        <f>HLOOKUP(C$119,$86:$117,22,FALSE)</f>
        <v>121.758736</v>
      </c>
      <c r="D142" s="104">
        <f t="shared" ref="D142:O142" si="27">HLOOKUP(D$119,$86:$117,22,FALSE)</f>
        <v>103.04591600000001</v>
      </c>
      <c r="E142" s="104">
        <f t="shared" si="27"/>
        <v>118.98512599999999</v>
      </c>
      <c r="F142" s="104">
        <f t="shared" si="27"/>
        <v>101.478588</v>
      </c>
      <c r="G142" s="104">
        <f t="shared" si="27"/>
        <v>109.30998200000001</v>
      </c>
      <c r="H142" s="104">
        <f t="shared" si="27"/>
        <v>82.237212</v>
      </c>
      <c r="I142" s="104">
        <f t="shared" si="27"/>
        <v>108.818316</v>
      </c>
      <c r="J142" s="104">
        <f t="shared" si="27"/>
        <v>104.478976</v>
      </c>
      <c r="K142" s="104">
        <f t="shared" si="27"/>
        <v>76.899137999999994</v>
      </c>
      <c r="L142" s="104">
        <f t="shared" si="27"/>
        <v>89.300011999999995</v>
      </c>
      <c r="M142" s="104">
        <f t="shared" si="27"/>
        <v>91.813715999999999</v>
      </c>
      <c r="N142" s="104">
        <f t="shared" si="27"/>
        <v>71.233320000000006</v>
      </c>
      <c r="O142" s="119">
        <f t="shared" si="27"/>
        <v>82.867552000000003</v>
      </c>
    </row>
    <row r="143" spans="1:15" ht="14.65" customHeight="1">
      <c r="A143" s="210"/>
      <c r="B143" s="102" t="s">
        <v>66</v>
      </c>
      <c r="C143" s="104">
        <f>HLOOKUP(C$119,$86:$117,23,FALSE)</f>
        <v>349.62675200000001</v>
      </c>
      <c r="D143" s="104">
        <f t="shared" ref="D143:O143" si="28">HLOOKUP(D$119,$86:$117,23,FALSE)</f>
        <v>283.485344</v>
      </c>
      <c r="E143" s="104">
        <f t="shared" si="28"/>
        <v>307.37834299999997</v>
      </c>
      <c r="F143" s="104">
        <f t="shared" si="28"/>
        <v>316.11086599999999</v>
      </c>
      <c r="G143" s="104">
        <f t="shared" si="28"/>
        <v>261.3288</v>
      </c>
      <c r="H143" s="104">
        <f t="shared" si="28"/>
        <v>271.16905600000001</v>
      </c>
      <c r="I143" s="104">
        <f t="shared" si="28"/>
        <v>265.51519999999999</v>
      </c>
      <c r="J143" s="104">
        <f t="shared" si="28"/>
        <v>260.370474</v>
      </c>
      <c r="K143" s="104">
        <f t="shared" si="28"/>
        <v>296.23593199999999</v>
      </c>
      <c r="L143" s="104">
        <f t="shared" si="28"/>
        <v>354.842107</v>
      </c>
      <c r="M143" s="104">
        <f t="shared" si="28"/>
        <v>391.60655400000002</v>
      </c>
      <c r="N143" s="104">
        <f t="shared" si="28"/>
        <v>377.87321400000002</v>
      </c>
      <c r="O143" s="119">
        <f t="shared" si="28"/>
        <v>342.56568199999998</v>
      </c>
    </row>
    <row r="144" spans="1:15" ht="13.9" customHeight="1">
      <c r="A144" s="210"/>
      <c r="B144" s="102" t="s">
        <v>6</v>
      </c>
      <c r="C144" s="104">
        <f>HLOOKUP(C$119,$86:$117,24,FALSE)</f>
        <v>0.73928799999999995</v>
      </c>
      <c r="D144" s="104">
        <f t="shared" ref="D144:O144" si="29">HLOOKUP(D$119,$86:$117,24,FALSE)</f>
        <v>1.4498660000000001</v>
      </c>
      <c r="E144" s="104">
        <f t="shared" si="29"/>
        <v>1.626099</v>
      </c>
      <c r="F144" s="104">
        <f t="shared" si="29"/>
        <v>1.3224050000000001</v>
      </c>
      <c r="G144" s="104">
        <f t="shared" si="29"/>
        <v>2.25665</v>
      </c>
      <c r="H144" s="104">
        <f t="shared" si="29"/>
        <v>2.6416550000000001</v>
      </c>
      <c r="I144" s="104">
        <f t="shared" si="29"/>
        <v>3.5113099999999999</v>
      </c>
      <c r="J144" s="104">
        <f t="shared" si="29"/>
        <v>3.975784</v>
      </c>
      <c r="K144" s="104">
        <f t="shared" si="29"/>
        <v>2.271474</v>
      </c>
      <c r="L144" s="104">
        <f t="shared" si="29"/>
        <v>1.869634</v>
      </c>
      <c r="M144" s="104">
        <f t="shared" si="29"/>
        <v>0.32408100000000001</v>
      </c>
      <c r="N144" s="104">
        <f t="shared" si="29"/>
        <v>1.363745</v>
      </c>
      <c r="O144" s="119">
        <f t="shared" si="29"/>
        <v>1.249555</v>
      </c>
    </row>
    <row r="145" spans="1:26" ht="13.9" customHeight="1">
      <c r="A145" s="210"/>
      <c r="B145" s="102" t="s">
        <v>5</v>
      </c>
      <c r="C145" s="104">
        <f>HLOOKUP(C$119,$86:$117,25,FALSE)</f>
        <v>53.153264999999998</v>
      </c>
      <c r="D145" s="104">
        <f t="shared" ref="D145:O145" si="30">HLOOKUP(D$119,$86:$117,25,FALSE)</f>
        <v>108.660585</v>
      </c>
      <c r="E145" s="104">
        <f t="shared" si="30"/>
        <v>89.216486000000003</v>
      </c>
      <c r="F145" s="104">
        <f t="shared" si="30"/>
        <v>94.672573</v>
      </c>
      <c r="G145" s="104">
        <f t="shared" si="30"/>
        <v>147.02184</v>
      </c>
      <c r="H145" s="104">
        <f t="shared" si="30"/>
        <v>129.86778200000001</v>
      </c>
      <c r="I145" s="104">
        <f t="shared" si="30"/>
        <v>169.43657200000001</v>
      </c>
      <c r="J145" s="104">
        <f t="shared" si="30"/>
        <v>210.63246799999999</v>
      </c>
      <c r="K145" s="104">
        <f t="shared" si="30"/>
        <v>148.53897900000001</v>
      </c>
      <c r="L145" s="104">
        <f t="shared" si="30"/>
        <v>116.739524</v>
      </c>
      <c r="M145" s="104">
        <f t="shared" si="30"/>
        <v>42.197834</v>
      </c>
      <c r="N145" s="104">
        <f t="shared" si="30"/>
        <v>98.604337999999998</v>
      </c>
      <c r="O145" s="119">
        <f t="shared" si="30"/>
        <v>94.728306000000003</v>
      </c>
    </row>
    <row r="146" spans="1:26" ht="13.9" customHeight="1">
      <c r="A146" s="210"/>
      <c r="B146" s="102" t="s">
        <v>4</v>
      </c>
      <c r="C146" s="104">
        <f>HLOOKUP(C$119,$86:$117,26,FALSE)</f>
        <v>24.766017999999999</v>
      </c>
      <c r="D146" s="104">
        <f t="shared" ref="D146:O146" si="31">HLOOKUP(D$119,$86:$117,26,FALSE)</f>
        <v>26.429468</v>
      </c>
      <c r="E146" s="104">
        <f t="shared" si="31"/>
        <v>32.017468999999998</v>
      </c>
      <c r="F146" s="104">
        <f t="shared" si="31"/>
        <v>36.076476</v>
      </c>
      <c r="G146" s="104">
        <f t="shared" si="31"/>
        <v>35.820442999999997</v>
      </c>
      <c r="H146" s="104">
        <f t="shared" si="31"/>
        <v>36.284447</v>
      </c>
      <c r="I146" s="104">
        <f t="shared" si="31"/>
        <v>42.800131</v>
      </c>
      <c r="J146" s="104">
        <f t="shared" si="31"/>
        <v>40.863112000000001</v>
      </c>
      <c r="K146" s="104">
        <f t="shared" si="31"/>
        <v>37.483722</v>
      </c>
      <c r="L146" s="104">
        <f t="shared" si="31"/>
        <v>36.283222000000002</v>
      </c>
      <c r="M146" s="104">
        <f t="shared" si="31"/>
        <v>28.453948</v>
      </c>
      <c r="N146" s="104">
        <f t="shared" si="31"/>
        <v>27.273921999999999</v>
      </c>
      <c r="O146" s="119">
        <f t="shared" si="31"/>
        <v>32.038106999999997</v>
      </c>
    </row>
    <row r="147" spans="1:26" ht="13.9" customHeight="1">
      <c r="A147" s="210"/>
      <c r="B147" s="102" t="s">
        <v>22</v>
      </c>
      <c r="C147" s="104">
        <f>HLOOKUP(C$119,$86:$117,27,FALSE)</f>
        <v>0.50013399999999997</v>
      </c>
      <c r="D147" s="104">
        <f t="shared" ref="D147:O147" si="32">HLOOKUP(D$119,$86:$117,27,FALSE)</f>
        <v>0.49944300000000003</v>
      </c>
      <c r="E147" s="104">
        <f t="shared" si="32"/>
        <v>0.57839200000000002</v>
      </c>
      <c r="F147" s="104">
        <f t="shared" si="32"/>
        <v>0.26424700000000001</v>
      </c>
      <c r="G147" s="104">
        <f t="shared" si="32"/>
        <v>0.430983</v>
      </c>
      <c r="H147" s="104">
        <f t="shared" si="32"/>
        <v>0.49796200000000002</v>
      </c>
      <c r="I147" s="104">
        <f t="shared" si="32"/>
        <v>0.62341999999999997</v>
      </c>
      <c r="J147" s="104">
        <f t="shared" si="32"/>
        <v>1.3289139999999999</v>
      </c>
      <c r="K147" s="104">
        <f t="shared" si="32"/>
        <v>1.1101749999999999</v>
      </c>
      <c r="L147" s="104">
        <f t="shared" si="32"/>
        <v>1.1028469999999999</v>
      </c>
      <c r="M147" s="104">
        <f t="shared" si="32"/>
        <v>1.1775519999999999</v>
      </c>
      <c r="N147" s="104">
        <f t="shared" si="32"/>
        <v>1.130485</v>
      </c>
      <c r="O147" s="119">
        <f t="shared" si="32"/>
        <v>1.127931</v>
      </c>
    </row>
    <row r="148" spans="1:26" ht="13.9" customHeight="1">
      <c r="A148" s="210"/>
      <c r="B148" s="112" t="s">
        <v>1</v>
      </c>
      <c r="C148" s="113">
        <f>HLOOKUP(C$119,$86:$117,29,FALSE)</f>
        <v>749.00370099999998</v>
      </c>
      <c r="D148" s="113">
        <f t="shared" ref="D148:O148" si="33">HLOOKUP(D$119,$86:$117,29,FALSE)</f>
        <v>697.91348700000003</v>
      </c>
      <c r="E148" s="113">
        <f t="shared" si="33"/>
        <v>732.21786799999995</v>
      </c>
      <c r="F148" s="113">
        <f t="shared" si="33"/>
        <v>712.74353499999995</v>
      </c>
      <c r="G148" s="113">
        <f t="shared" si="33"/>
        <v>716.15544799999998</v>
      </c>
      <c r="H148" s="113">
        <f t="shared" si="33"/>
        <v>700.49205900000004</v>
      </c>
      <c r="I148" s="113">
        <f t="shared" si="33"/>
        <v>768.17412100000001</v>
      </c>
      <c r="J148" s="113">
        <f t="shared" si="33"/>
        <v>790.56858199999999</v>
      </c>
      <c r="K148" s="113">
        <f t="shared" si="33"/>
        <v>745.34215500000005</v>
      </c>
      <c r="L148" s="113">
        <f t="shared" si="33"/>
        <v>778.02610000000004</v>
      </c>
      <c r="M148" s="113">
        <f t="shared" si="33"/>
        <v>748.19518000000005</v>
      </c>
      <c r="N148" s="113">
        <f t="shared" si="33"/>
        <v>757.07586100000003</v>
      </c>
      <c r="O148" s="182">
        <f t="shared" si="33"/>
        <v>756.35439199999996</v>
      </c>
    </row>
    <row r="149" spans="1:26" ht="13.9" customHeight="1">
      <c r="A149" s="210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3.9" customHeight="1">
      <c r="A150" s="211"/>
      <c r="B150" s="120" t="s">
        <v>67</v>
      </c>
      <c r="C150" s="124">
        <f t="shared" ref="C150:O150" si="34">SUM(C140:C142)</f>
        <v>319.92200200000002</v>
      </c>
      <c r="D150" s="124">
        <f t="shared" si="34"/>
        <v>277.10369800000001</v>
      </c>
      <c r="E150" s="124">
        <f t="shared" si="34"/>
        <v>301.12815499999999</v>
      </c>
      <c r="F150" s="124">
        <f t="shared" si="34"/>
        <v>264.03856100000002</v>
      </c>
      <c r="G150" s="124">
        <f t="shared" si="34"/>
        <v>269.01460000000003</v>
      </c>
      <c r="H150" s="124">
        <f t="shared" si="34"/>
        <v>259.755742</v>
      </c>
      <c r="I150" s="124">
        <f t="shared" si="34"/>
        <v>285.99688500000002</v>
      </c>
      <c r="J150" s="124">
        <f t="shared" si="34"/>
        <v>273.11601300000001</v>
      </c>
      <c r="K150" s="124">
        <f t="shared" si="34"/>
        <v>259.42566099999999</v>
      </c>
      <c r="L150" s="124">
        <f t="shared" si="34"/>
        <v>266.89031299999999</v>
      </c>
      <c r="M150" s="124">
        <f t="shared" si="34"/>
        <v>284.150893</v>
      </c>
      <c r="N150" s="124">
        <f t="shared" si="34"/>
        <v>250.54232200000001</v>
      </c>
      <c r="O150" s="125">
        <f t="shared" si="34"/>
        <v>284.35956900000002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50"/>
      <c r="B153" s="150" t="s">
        <v>60</v>
      </c>
      <c r="C153" s="208" t="s">
        <v>49</v>
      </c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50"/>
      <c r="B154" s="150" t="s">
        <v>61</v>
      </c>
      <c r="C154" s="173" t="s">
        <v>81</v>
      </c>
      <c r="D154" s="173" t="s">
        <v>82</v>
      </c>
      <c r="E154" s="173" t="s">
        <v>83</v>
      </c>
      <c r="F154" s="173" t="s">
        <v>84</v>
      </c>
      <c r="G154" s="173" t="s">
        <v>85</v>
      </c>
      <c r="H154" s="173" t="s">
        <v>86</v>
      </c>
      <c r="I154" s="173" t="s">
        <v>87</v>
      </c>
      <c r="J154" s="173" t="s">
        <v>88</v>
      </c>
      <c r="K154" s="173" t="s">
        <v>89</v>
      </c>
      <c r="L154" s="173" t="s">
        <v>90</v>
      </c>
      <c r="M154" s="173" t="s">
        <v>91</v>
      </c>
      <c r="N154" s="173" t="s">
        <v>92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50" t="s">
        <v>59</v>
      </c>
      <c r="B155" s="150" t="s">
        <v>93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2" t="s">
        <v>108</v>
      </c>
      <c r="B156" s="152" t="s">
        <v>109</v>
      </c>
      <c r="C156" s="168">
        <v>2.188E-2</v>
      </c>
      <c r="D156" s="168">
        <v>1.98E-3</v>
      </c>
      <c r="E156" s="168">
        <v>2.92E-2</v>
      </c>
      <c r="F156" s="168">
        <v>-9.2999999999999992E-3</v>
      </c>
      <c r="G156" s="168">
        <v>2.188E-2</v>
      </c>
      <c r="H156" s="168">
        <v>1.98E-3</v>
      </c>
      <c r="I156" s="168">
        <v>2.92E-2</v>
      </c>
      <c r="J156" s="168">
        <v>-9.2999999999999992E-3</v>
      </c>
      <c r="K156" s="168">
        <v>5.0299999999999997E-3</v>
      </c>
      <c r="L156" s="168">
        <v>-1.8000000000000001E-4</v>
      </c>
      <c r="M156" s="168">
        <v>-5.8100000000000001E-3</v>
      </c>
      <c r="N156" s="168">
        <v>1.102E-2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50"/>
      <c r="B159" s="150" t="s">
        <v>60</v>
      </c>
      <c r="C159" s="208" t="s">
        <v>50</v>
      </c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50"/>
      <c r="B160" s="150" t="s">
        <v>61</v>
      </c>
      <c r="C160" s="173" t="s">
        <v>81</v>
      </c>
      <c r="D160" s="173" t="s">
        <v>82</v>
      </c>
      <c r="E160" s="173" t="s">
        <v>83</v>
      </c>
      <c r="F160" s="173" t="s">
        <v>84</v>
      </c>
      <c r="G160" s="173" t="s">
        <v>85</v>
      </c>
      <c r="H160" s="173" t="s">
        <v>86</v>
      </c>
      <c r="I160" s="173" t="s">
        <v>87</v>
      </c>
      <c r="J160" s="173" t="s">
        <v>88</v>
      </c>
      <c r="K160" s="173" t="s">
        <v>89</v>
      </c>
      <c r="L160" s="173" t="s">
        <v>90</v>
      </c>
      <c r="M160" s="173" t="s">
        <v>91</v>
      </c>
      <c r="N160" s="173" t="s">
        <v>92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50" t="s">
        <v>59</v>
      </c>
      <c r="B161" s="150" t="s">
        <v>93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2" t="s">
        <v>108</v>
      </c>
      <c r="B162" s="152" t="s">
        <v>109</v>
      </c>
      <c r="C162" s="168">
        <v>9.8099999999999993E-3</v>
      </c>
      <c r="D162" s="168">
        <v>-8.2100000000000003E-3</v>
      </c>
      <c r="E162" s="168">
        <v>4.6000000000000001E-4</v>
      </c>
      <c r="F162" s="168">
        <v>1.7559999999999999E-2</v>
      </c>
      <c r="G162" s="168">
        <v>9.8099999999999993E-3</v>
      </c>
      <c r="H162" s="168">
        <v>-8.2100000000000003E-3</v>
      </c>
      <c r="I162" s="168">
        <v>4.6000000000000001E-4</v>
      </c>
      <c r="J162" s="168">
        <v>1.7559999999999999E-2</v>
      </c>
      <c r="K162" s="168">
        <v>3.3400000000000001E-3</v>
      </c>
      <c r="L162" s="168">
        <v>-1.2E-4</v>
      </c>
      <c r="M162" s="168">
        <v>-3.7599999999999999E-3</v>
      </c>
      <c r="N162" s="168">
        <v>7.2199999999999999E-3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26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26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26" ht="15">
      <c r="A168"/>
    </row>
    <row r="169" spans="1:26" ht="15">
      <c r="A169"/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5">
    <mergeCell ref="B29:C29"/>
    <mergeCell ref="C153:N153"/>
    <mergeCell ref="C159:N159"/>
    <mergeCell ref="A138:A150"/>
    <mergeCell ref="A121:A137"/>
    <mergeCell ref="B119:B120"/>
    <mergeCell ref="A88:A103"/>
    <mergeCell ref="B30:C30"/>
    <mergeCell ref="A104:A114"/>
    <mergeCell ref="C85:P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117</v>
      </c>
    </row>
    <row r="2" spans="1:2">
      <c r="A2" t="s">
        <v>110</v>
      </c>
    </row>
    <row r="3" spans="1:2">
      <c r="A3" t="s">
        <v>113</v>
      </c>
    </row>
    <row r="4" spans="1:2">
      <c r="A4" t="s">
        <v>115</v>
      </c>
    </row>
    <row r="5" spans="1:2">
      <c r="A5" t="s">
        <v>116</v>
      </c>
    </row>
    <row r="6" spans="1: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MSTR.Variación_y_componentes_mensual_de_la_demanda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2025-02-14T09:34:33Z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