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DIC\INF_ELABORADA\"/>
    </mc:Choice>
  </mc:AlternateContent>
  <xr:revisionPtr revIDLastSave="0" documentId="8_{08D8CA1A-C03A-4237-AFE2-26BD010759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2" l="1"/>
  <c r="F9" i="10"/>
  <c r="K15" i="22"/>
  <c r="M15" i="22"/>
  <c r="K12" i="22"/>
  <c r="J12" i="22"/>
  <c r="J15" i="22"/>
  <c r="F11" i="22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H15" i="22" l="1"/>
  <c r="J20" i="22"/>
  <c r="J24" i="22" s="1"/>
  <c r="L20" i="22"/>
  <c r="L24" i="22" s="1"/>
  <c r="L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<sst xmlns="http://schemas.openxmlformats.org/spreadsheetml/2006/main" count="428" uniqueCount="137">
  <si>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</si>
  <si>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</si>
  <si>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</si>
  <si>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</si>
  <si>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</si>
  <si>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</si>
  <si>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</si>
  <si>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</si>
  <si>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</si>
  <si>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</si>
  <si>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</si>
  <si>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</si>
  <si>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</si>
  <si>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</si>
  <si>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</si>
  <si>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</si>
  <si>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</si>
  <si>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</si>
  <si>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</si>
  <si>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</si>
  <si>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</si>
  <si>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</si>
  <si>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</si>
  <si>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</si>
  <si>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</si>
  <si>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</si>
  <si>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</si>
  <si>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</si>
  <si>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</si>
  <si>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</si>
  <si>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</si>
  <si>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</si>
  <si>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</si>
  <si>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</si>
  <si>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</si>
  <si>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</si>
  <si>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</si>
  <si>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</si>
  <si>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</si>
  <si>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</si>
  <si>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</si>
  <si>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</si>
  <si>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</si>
  <si>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</si>
  <si>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</si>
  <si>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</si>
  <si>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</si>
  <si>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</si>
  <si>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</si>
  <si>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</si>
  <si>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</si>
  <si>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</si>
  <si>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</si>
  <si>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</si>
  <si>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</si>
  <si>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</si>
  <si>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</si>
  <si>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</si>
  <si>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</si>
  <si>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</si>
  <si>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</si>
  <si>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</si>
  <si>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</si>
  <si>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</si>
  <si>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</si>
  <si>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</si>
  <si>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</si>
  <si>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</si>
  <si>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</si>
  <si>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</si>
  <si>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</si>
  <si>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</si>
  <si>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</si>
  <si>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</si>
  <si>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</si>
  <si>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</si>
  <si>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</si>
  <si>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</si>
  <si>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</si>
  <si>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</si>
  <si>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</si>
  <si>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</si>
  <si>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</si>
  <si>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</si>
  <si>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</si>
  <si>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</si>
  <si>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</si>
  <si>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</si>
  <si>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</si>
  <si>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</si>
  <si>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</si>
  <si>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</si>
  <si>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</si>
  <si>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</si>
  <si>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</si>
  <si>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</si>
  <si>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</si>
  <si>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</si>
  <si>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</si>
  <si>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</si>
  <si>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</si>
  <si>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</si>
  <si>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</si>
  <si>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</si>
  <si>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</si>
  <si>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</si>
  <si>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</si>
  <si>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</si>
  <si>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</si>
  <si>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</si>
  <si>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</si>
  <si>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</si>
  <si>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</si>
  <si>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</si>
  <si>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</si>
  <si>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</si>
  <si>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</si>
  <si>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</si>
  <si>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</si>
  <si>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</si>
  <si>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</si>
  <si>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</si>
  <si>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</si>
  <si>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</si>
  <si>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</si>
  <si>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</si>
  <si>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</si>
  <si>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</si>
  <si>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</si>
  <si>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</si>
  <si>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31/12/2024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</si>
  <si>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09:47:48" si="2.00000001f1444e72a6965af2f2ce1a1e378a5f2dd603f98c735d9706e78a2c45f2464439ec20e5f09f9fd8a27db5a18eb37a1cc85fa72c9f636fd19fba281867405f394136d5cacf0e3269530a8c1782ec9e148f23067d1cf3b49c7984eaf9496ebcf9fd742a09968a85762c18c3a7b57f0b7ddf932ca2a7b4090a50b5ab77d62b44589b3f8e715d489db5754c6aae8ec3a83a5470b60271f64a0f91fb0dba998868.p.3082.0.1.Europe/Madrid.upriv*_1*_pidn2*_1*_session*-lat*_1.0000000118b0c6794480a443824854e30d41b2f7bc6025e0369de0bd46fa740fa49361800b2f78a213c779934ef05724988f5982cc205e41.00000001e2ad2e36c9d3bed84423f28034100bfebc6025e0fb2648b6d19a10a1c41c5d8c5ef3ba81a245000062fd0a0f3cfea143ebb37229.0.1.1.BDEbi.D066E1C611E6257C10D00080EF253B44.0-3082.1.1_-0.1.0_-3082.1.1_5.5.0.*0.00000001b846bd72b05da084aa57d43ba5d9e6c5c911585a411d6bb492df2539b2b0af39016685a9.0.23.11*.2*.0400*.31152J.e.000000019b8040639cf76636a11eefa7b8e90c7dc911585a316c0bd80c9732792ef3f607f78571d9.0.10*.131*.122*.122.0.0" msgID="9608812E11EFD25CFD130080EF856C14"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</si>
  <si>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09:54:26" si="2.00000001f1444e72a6965af2f2ce1a1e378a5f2dd603f98c735d9706e78a2c45f2464439ec20e5f09f9fd8a27db5a18eb37a1cc85fa72c9f636fd19fba281867405f394136d5cacf0e3269530a8c1782ec9e148f23067d1cf3b49c7984eaf9496ebcf9fd742a09968a85762c18c3a7b57f0b7ddf932ca2a7b4090a50b5ab77d62b44589b3f8e715d489db5754c6aae8ec3a83a5470b60271f64a0f91fb0dba998868.p.3082.0.1.Europe/Madrid.upriv*_1*_pidn2*_1*_session*-lat*_1.0000000118b0c6794480a443824854e30d41b2f7bc6025e0369de0bd46fa740fa49361800b2f78a213c779934ef05724988f5982cc205e41.00000001e2ad2e36c9d3bed84423f28034100bfebc6025e0fb2648b6d19a10a1c41c5d8c5ef3ba81a245000062fd0a0f3cfea143ebb37229.0.1.1.BDEbi.D066E1C611E6257C10D00080EF253B44.0-3082.1.1_-0.1.0_-3082.1.1_5.5.0.*0.00000001b846bd72b05da084aa57d43ba5d9e6c5c911585a411d6bb492df2539b2b0af39016685a9.0.23.11*.2*.0400*.31152J.e.000000019b8040639cf76636a11eefa7b8e90c7dc911585a316c0bd80c9732792ef3f607f78571d9.0.10*.131*.122*.122.0.0" msgID="AA6BAE3E11EFD25CFD130080EF158C14"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nrr="1717" nrc="3232"&gt;&lt;pg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</si>
  <si>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ut="01/14/2025 11:46:25" si="2.00000001f1444e72a6965af2f2ce1a1e378a5f2dd603f98c735d9706e78a2c45f2464439ec20e5f09f9fd8a27db5a18eb37a1cc85fa72c9f636fd19fba281867405f394136d5cacf0e3269530a8c1782ec9e148f23067d1cf3b49c7984eaf9496ebcf9fd742a09968a85762c18c3a7b57f0b7ddf932ca2a7b4090a50b5ab77d62b44589b3f8e715d489db5754c6aae8ec3a83a5470b60271f64a0f91fb0dba998868.p.3082.0.1.Europe/Madrid.upriv*_1*_pidn2*_1*_session*-lat*_1.0000000118b0c6794480a443824854e30d41b2f7bc6025e0369de0bd46fa740fa49361800b2f78a213c779934ef05724988f5982cc205e41.00000001e2ad2e36c9d3bed84423f28034100bfebc6025e0fb2648b6d19a10a1c41c5d8c5ef3ba81a245000062fd0a0f3cfea143ebb37229.0.1.1.BDEbi.D066E1C611E6257C10D00080EF253B44.0-3082.1.1_-0.1.0_-3082.1.1_5.5.0.*0.00000001b846bd72b05da084aa57d43ba5d9e6c5c911585a411d6bb492df2539b2b0af39016685a9.0.23.11*.2*.0400*.31152J.e.000000019b8040639cf76636a11eefa7b8e90c7dc911585a316c0bd80c9732792ef3f607f78571d9.0.10*.131*.122*.122.0.0" msgID="4015BF9C11EFD26CFD130080EF958C15"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cols="26" /&gt;&lt;esdo ews="" ece="" ptn="" /&gt;&lt;/excel&gt;&lt;pgs&gt;&lt;pg rows="26" cols="24" nrr="2511" nrc="1928"&gt;&lt;pg /&gt;&lt;bls&gt;&lt;bl sr="1" sc="1" rfetch="26" cfetch="24" posid="1" darows="0" dacols="1"&gt;&lt;excel&gt;&lt;epo ews="Dat_01" ece="A85" enr="MSTR.Serie_Balance_B.C._Mensual_Baleares_y_Canarias" ptn="" qtn="" rows="29" cols="26" /&gt;&lt;esdo ews="" ece="" ptn="" /&gt;&lt;/excel&gt;&lt;gridRng&gt;&lt;sect id="TITLE_AREA" rngprop="1:1:3:2" /&gt;&lt;sect id="ROWHEADERS_AREA" rngprop="4:1:26:2" /&gt;&lt;sect id="COLUMNHEADERS_AREA" rngprop="1:3:3:24" /&gt;&lt;sect id="DATA_AREA" rngprop="4:3:26:24"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</si>
  <si>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ut="01/14/2025 12:11:47" si="2.000000011f9d068ab76536b7c1b48c956f7645858a6cefdb08bd590c8b4e45c7d303c2d0ca427e8edee8be83435438595630c2dc4e94d500bf13c1155b73f238cca74dc9b2f8884764cb35772af6e989185676470c699c137d12f62e8ab8f3e461ef59a665dfa17f31bca89b1b2d4b4156ec03fa114d682fda4f55be351bec4b541dfb6b7d8d7ba4d5ff45dc64c7ac19a5b00f6baa72a1f610dd446868d76a26acd5.p.3082.0.1.Europe/Madrid.upriv*_1*_pidn2*_2*_session*-lat*_1.00000001b7b93bf6af7f5d4b01c95f054559aceabc6025e090b32487afd46f0f7dfe2cbe214a7bd141823259b162d6508cb46c7ace4edeb2.000000019506f8f9a059d3f670c6ddb88bba6056bc6025e0845217f006ec81825f39573d7a45c91283c7085f72d26567e6124a31795110ed.0.1.1.BDEbi.D066E1C611E6257C10D00080EF253B44.0-3082.1.1_-0.1.0_-3082.1.1_5.5.0.*0.00000001a46682df83c6a68c3a00e2d8de2caec9c911585af1961137e818cd5b55d1a951ea27ba9a.0.23.11*.2*.0400*.31152J.e.00000001eb604a8a03e70ca336146c5ef864e21ac911585a4fe45e46f520d154028653d8a98861e4.0.10*.131*.122*.122.0.0" msgID="B1F330B411EFD270123E0080EF859A39"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nrr="127" nrc="960"&gt;&lt;pg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</si>
  <si>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a36b4bfbba034dc7b8232821e525a80b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</si>
  <si>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ut="01/14/2025 12:12:10" si="2.000000011f9d068ab76536b7c1b48c956f7645858a6cefdb08bd590c8b4e45c7d303c2d0ca427e8edee8be83435438595630c2dc4e94d500bf13c1155b73f238cca74dc9b2f8884764cb35772af6e989185676470c699c137d12f62e8ab8f3e461ef59a665dfa17f31bca89b1b2d4b4156ec03fa114d682fda4f55be351bec4b541dfb6b7d8d7ba4d5ff45dc64c7ac19a5b00f6baa72a1f610dd446868d76a26acd5.p.3082.0.1.Europe/Madrid.upriv*_1*_pidn2*_2*_session*-lat*_1.00000001b7b93bf6af7f5d4b01c95f054559aceabc6025e090b32487afd46f0f7dfe2cbe214a7bd141823259b162d6508cb46c7ace4edeb2.000000019506f8f9a059d3f670c6ddb88bba6056bc6025e0845217f006ec81825f39573d7a45c91283c7085f72d26567e6124a31795110ed.0.1.1.BDEbi.D066E1C611E6257C10D00080EF253B44.0-3082.1.1_-0.1.0_-3082.1.1_5.5.0.*0.00000001a46682df83c6a68c3a00e2d8de2caec9c911585af1961137e818cd5b55d1a951ea27ba9a.0.23.11*.2*.0400*.31152J.e.00000001eb604a8a03e70ca336146c5ef864e21ac911585a4fe45e46f520d154028653d8a98861e4.0.10*.131*.122*.122.0.0" msgID="C17EE28B11EFD270123E0080EF25D936"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nrr="83" nrc="1008"&gt;&lt;pg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</si>
</sst>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168" fontId="51" fillId="0" borderId="0" xfId="0" applyNumberFormat="1" applyFont="1"/>
    <xf numFmtId="0" fontId="51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07"/>
                  <c:y val="-2.35346456692913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245118750400103"/>
                  <c:y val="1.611122047244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6910556302413418"/>
                  <c:y val="0.13156850393700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1.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7123602842327637"/>
                  <c:y val="-9.8066535433070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7398373983739837"/>
                  <c:y val="-0.162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-2.6016260162601626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8842225209653671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1.6490413099193106</c:v>
                </c:pt>
                <c:pt idx="2">
                  <c:v>5.5830931765461749</c:v>
                </c:pt>
                <c:pt idx="3">
                  <c:v>63.683518155536888</c:v>
                </c:pt>
                <c:pt idx="4">
                  <c:v>0</c:v>
                </c:pt>
                <c:pt idx="5">
                  <c:v>0.72544017928747928</c:v>
                </c:pt>
                <c:pt idx="6">
                  <c:v>2.7228230712948247</c:v>
                </c:pt>
                <c:pt idx="7">
                  <c:v>2.7228230712948247</c:v>
                </c:pt>
                <c:pt idx="8">
                  <c:v>0</c:v>
                </c:pt>
                <c:pt idx="9">
                  <c:v>5.5448752875509975</c:v>
                </c:pt>
                <c:pt idx="10">
                  <c:v>5.1074063000590954E-2</c:v>
                </c:pt>
                <c:pt idx="11">
                  <c:v>17.317311685568896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5284552845528454"/>
                  <c:y val="-8.3529527559055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0.10687689648550032"/>
                  <c:y val="-0.147325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10.781131916895379</c:v>
                </c:pt>
                <c:pt idx="1">
                  <c:v>6.2308863566136656</c:v>
                </c:pt>
                <c:pt idx="2">
                  <c:v>26.957299581590398</c:v>
                </c:pt>
                <c:pt idx="3">
                  <c:v>36.781896577169185</c:v>
                </c:pt>
                <c:pt idx="4">
                  <c:v>0</c:v>
                </c:pt>
                <c:pt idx="5">
                  <c:v>0.51505382702481528</c:v>
                </c:pt>
                <c:pt idx="6">
                  <c:v>1.6717012176280563</c:v>
                </c:pt>
                <c:pt idx="7">
                  <c:v>1.6717012176280563</c:v>
                </c:pt>
                <c:pt idx="8">
                  <c:v>0.15901275619550298</c:v>
                </c:pt>
                <c:pt idx="9">
                  <c:v>15.055564431936405</c:v>
                </c:pt>
                <c:pt idx="10">
                  <c:v>0.17575211731854329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-0.69586499999999996</c:v>
                </c:pt>
                <c:pt idx="1">
                  <c:v>-0.70605399999999996</c:v>
                </c:pt>
                <c:pt idx="2">
                  <c:v>-0.66276199999999996</c:v>
                </c:pt>
                <c:pt idx="3">
                  <c:v>-0.710283</c:v>
                </c:pt>
                <c:pt idx="4">
                  <c:v>-0.939218</c:v>
                </c:pt>
                <c:pt idx="5">
                  <c:v>22.073955999999999</c:v>
                </c:pt>
                <c:pt idx="6">
                  <c:v>26.418958</c:v>
                </c:pt>
                <c:pt idx="7">
                  <c:v>1.554179</c:v>
                </c:pt>
                <c:pt idx="8">
                  <c:v>-0.75178999999999996</c:v>
                </c:pt>
                <c:pt idx="9">
                  <c:v>-0.70974400000000004</c:v>
                </c:pt>
                <c:pt idx="10">
                  <c:v>-0.68802799999999997</c:v>
                </c:pt>
                <c:pt idx="11">
                  <c:v>-0.72391899999999998</c:v>
                </c:pt>
                <c:pt idx="12">
                  <c:v>-0.80044000000000004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28.870017999999998</c:v>
                </c:pt>
                <c:pt idx="1">
                  <c:v>30.443576</c:v>
                </c:pt>
                <c:pt idx="2">
                  <c:v>28.621776999999998</c:v>
                </c:pt>
                <c:pt idx="3">
                  <c:v>30.374336</c:v>
                </c:pt>
                <c:pt idx="4">
                  <c:v>47.711207999999999</c:v>
                </c:pt>
                <c:pt idx="5">
                  <c:v>41.291938999999999</c:v>
                </c:pt>
                <c:pt idx="6">
                  <c:v>61.203187</c:v>
                </c:pt>
                <c:pt idx="7">
                  <c:v>103.43266399999999</c:v>
                </c:pt>
                <c:pt idx="8">
                  <c:v>120.37340399999999</c:v>
                </c:pt>
                <c:pt idx="9">
                  <c:v>72.807096999999999</c:v>
                </c:pt>
                <c:pt idx="10">
                  <c:v>65.130349999999993</c:v>
                </c:pt>
                <c:pt idx="11">
                  <c:v>29.175886999999999</c:v>
                </c:pt>
                <c:pt idx="12">
                  <c:v>32.568353999999999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233.91494</c:v>
                </c:pt>
                <c:pt idx="1">
                  <c:v>244.02029300000001</c:v>
                </c:pt>
                <c:pt idx="2">
                  <c:v>218.49136100000001</c:v>
                </c:pt>
                <c:pt idx="3">
                  <c:v>213.548517</c:v>
                </c:pt>
                <c:pt idx="4">
                  <c:v>205.68247400000001</c:v>
                </c:pt>
                <c:pt idx="5">
                  <c:v>206.763338</c:v>
                </c:pt>
                <c:pt idx="6">
                  <c:v>212.499032</c:v>
                </c:pt>
                <c:pt idx="7">
                  <c:v>272.94692199999997</c:v>
                </c:pt>
                <c:pt idx="8">
                  <c:v>333.50170400000002</c:v>
                </c:pt>
                <c:pt idx="9">
                  <c:v>245.22935200000001</c:v>
                </c:pt>
                <c:pt idx="10">
                  <c:v>232.50510600000001</c:v>
                </c:pt>
                <c:pt idx="11">
                  <c:v>227.14512999999999</c:v>
                </c:pt>
                <c:pt idx="12">
                  <c:v>286.78495500000002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23.146239000000001</c:v>
                </c:pt>
                <c:pt idx="1">
                  <c:v>24.208549000000001</c:v>
                </c:pt>
                <c:pt idx="2">
                  <c:v>30.786093000000001</c:v>
                </c:pt>
                <c:pt idx="3">
                  <c:v>45.320208999999998</c:v>
                </c:pt>
                <c:pt idx="4">
                  <c:v>44.586635000000001</c:v>
                </c:pt>
                <c:pt idx="5">
                  <c:v>58.342002999999998</c:v>
                </c:pt>
                <c:pt idx="6">
                  <c:v>53.291172000000003</c:v>
                </c:pt>
                <c:pt idx="7">
                  <c:v>60.161617</c:v>
                </c:pt>
                <c:pt idx="8">
                  <c:v>55.457568000000002</c:v>
                </c:pt>
                <c:pt idx="9">
                  <c:v>43.998761999999999</c:v>
                </c:pt>
                <c:pt idx="10">
                  <c:v>38.871260999999997</c:v>
                </c:pt>
                <c:pt idx="11">
                  <c:v>26.945288999999999</c:v>
                </c:pt>
                <c:pt idx="12">
                  <c:v>24.970147000000001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0.12625700000000001</c:v>
                </c:pt>
                <c:pt idx="1">
                  <c:v>0.10423</c:v>
                </c:pt>
                <c:pt idx="2">
                  <c:v>3.9530000000000003E-2</c:v>
                </c:pt>
                <c:pt idx="3">
                  <c:v>4.0002000000000003E-2</c:v>
                </c:pt>
                <c:pt idx="4">
                  <c:v>1.5544000000000001E-2</c:v>
                </c:pt>
                <c:pt idx="5">
                  <c:v>4.1384999999999998E-2</c:v>
                </c:pt>
                <c:pt idx="6">
                  <c:v>7.8099000000000002E-2</c:v>
                </c:pt>
                <c:pt idx="7">
                  <c:v>0.18402499999999999</c:v>
                </c:pt>
                <c:pt idx="8">
                  <c:v>0.28992600000000002</c:v>
                </c:pt>
                <c:pt idx="9">
                  <c:v>0.364813</c:v>
                </c:pt>
                <c:pt idx="10">
                  <c:v>0.34994999999999998</c:v>
                </c:pt>
                <c:pt idx="11">
                  <c:v>0.27039800000000003</c:v>
                </c:pt>
                <c:pt idx="12">
                  <c:v>0.23000100000000001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3.1565249999999998</c:v>
                </c:pt>
                <c:pt idx="1">
                  <c:v>3.9370180000000001</c:v>
                </c:pt>
                <c:pt idx="2">
                  <c:v>3.7397490000000002</c:v>
                </c:pt>
                <c:pt idx="3">
                  <c:v>3.4851179999999999</c:v>
                </c:pt>
                <c:pt idx="4">
                  <c:v>1.9095409999999999</c:v>
                </c:pt>
                <c:pt idx="5">
                  <c:v>3.5397620000000001</c:v>
                </c:pt>
                <c:pt idx="6">
                  <c:v>3.4609559999999999</c:v>
                </c:pt>
                <c:pt idx="7">
                  <c:v>3.2774670000000001</c:v>
                </c:pt>
                <c:pt idx="8">
                  <c:v>3.1243509999999999</c:v>
                </c:pt>
                <c:pt idx="9">
                  <c:v>2.778902</c:v>
                </c:pt>
                <c:pt idx="10">
                  <c:v>2.2852030000000001</c:v>
                </c:pt>
                <c:pt idx="11">
                  <c:v>1.8790750000000001</c:v>
                </c:pt>
                <c:pt idx="12">
                  <c:v>3.2668629999999999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8.9918355000000005</c:v>
                </c:pt>
                <c:pt idx="1">
                  <c:v>10.485035</c:v>
                </c:pt>
                <c:pt idx="2">
                  <c:v>5.6085469999999997</c:v>
                </c:pt>
                <c:pt idx="3">
                  <c:v>12.829401000000001</c:v>
                </c:pt>
                <c:pt idx="4">
                  <c:v>11.323399</c:v>
                </c:pt>
                <c:pt idx="5">
                  <c:v>12.2750895</c:v>
                </c:pt>
                <c:pt idx="6">
                  <c:v>16.584269500000001</c:v>
                </c:pt>
                <c:pt idx="7">
                  <c:v>15.726691000000001</c:v>
                </c:pt>
                <c:pt idx="8">
                  <c:v>15.578734000000001</c:v>
                </c:pt>
                <c:pt idx="9">
                  <c:v>14.1961285</c:v>
                </c:pt>
                <c:pt idx="10">
                  <c:v>9.2427220000000005</c:v>
                </c:pt>
                <c:pt idx="11">
                  <c:v>9.5122354999999992</c:v>
                </c:pt>
                <c:pt idx="12">
                  <c:v>12.261645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8.9918355000000005</c:v>
                </c:pt>
                <c:pt idx="1">
                  <c:v>10.485035</c:v>
                </c:pt>
                <c:pt idx="2">
                  <c:v>5.6085469999999997</c:v>
                </c:pt>
                <c:pt idx="3">
                  <c:v>12.829401000000001</c:v>
                </c:pt>
                <c:pt idx="4">
                  <c:v>11.323399</c:v>
                </c:pt>
                <c:pt idx="5">
                  <c:v>12.2750895</c:v>
                </c:pt>
                <c:pt idx="6">
                  <c:v>16.584269500000001</c:v>
                </c:pt>
                <c:pt idx="7">
                  <c:v>15.726691000000001</c:v>
                </c:pt>
                <c:pt idx="8">
                  <c:v>15.578734000000001</c:v>
                </c:pt>
                <c:pt idx="9">
                  <c:v>14.1961285</c:v>
                </c:pt>
                <c:pt idx="10">
                  <c:v>9.2427220000000005</c:v>
                </c:pt>
                <c:pt idx="11">
                  <c:v>9.5122354999999992</c:v>
                </c:pt>
                <c:pt idx="12">
                  <c:v>12.261645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112.440268</c:v>
                </c:pt>
                <c:pt idx="1">
                  <c:v>122.760274</c:v>
                </c:pt>
                <c:pt idx="2">
                  <c:v>114.74408200000001</c:v>
                </c:pt>
                <c:pt idx="3">
                  <c:v>110.667727</c:v>
                </c:pt>
                <c:pt idx="4">
                  <c:v>109.36235000000001</c:v>
                </c:pt>
                <c:pt idx="5">
                  <c:v>117.764884</c:v>
                </c:pt>
                <c:pt idx="6">
                  <c:v>145.36358899999999</c:v>
                </c:pt>
                <c:pt idx="7">
                  <c:v>208.454387</c:v>
                </c:pt>
                <c:pt idx="8">
                  <c:v>187.956546</c:v>
                </c:pt>
                <c:pt idx="9">
                  <c:v>162.00915900000001</c:v>
                </c:pt>
                <c:pt idx="10">
                  <c:v>144.54443599999999</c:v>
                </c:pt>
                <c:pt idx="11">
                  <c:v>78.195680999999993</c:v>
                </c:pt>
                <c:pt idx="12">
                  <c:v>77.984769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6422764227642275"/>
                  <c:y val="0.147666141732283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886178861788618"/>
                  <c:y val="-1.4803937007874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6260162601626016"/>
                  <c:y val="-8.7843307086614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14.53609321947337</c:v>
                </c:pt>
                <c:pt idx="1">
                  <c:v>15.523071413421292</c:v>
                </c:pt>
                <c:pt idx="2">
                  <c:v>14.387047886651274</c:v>
                </c:pt>
                <c:pt idx="3">
                  <c:v>25.79676620484836</c:v>
                </c:pt>
                <c:pt idx="4">
                  <c:v>1.1387063427608128</c:v>
                </c:pt>
                <c:pt idx="5">
                  <c:v>4.5309781177917161E-2</c:v>
                </c:pt>
                <c:pt idx="6">
                  <c:v>0.33743863350922515</c:v>
                </c:pt>
                <c:pt idx="7">
                  <c:v>19.319554131065715</c:v>
                </c:pt>
                <c:pt idx="8">
                  <c:v>8.653513746925757</c:v>
                </c:pt>
                <c:pt idx="9">
                  <c:v>0.26249864016627533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-3.980393700787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5196078431372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25365853658536586"/>
                  <c:y val="1.253319438011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4.1708352632391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8536598169131296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20.706911977813732</c:v>
                </c:pt>
                <c:pt idx="1">
                  <c:v>2.6925721863143295</c:v>
                </c:pt>
                <c:pt idx="2">
                  <c:v>9.0531794432669948</c:v>
                </c:pt>
                <c:pt idx="3">
                  <c:v>50.388918168146979</c:v>
                </c:pt>
                <c:pt idx="4">
                  <c:v>0</c:v>
                </c:pt>
                <c:pt idx="5">
                  <c:v>3.8426898535801994E-2</c:v>
                </c:pt>
                <c:pt idx="6">
                  <c:v>0.17989758778630549</c:v>
                </c:pt>
                <c:pt idx="7">
                  <c:v>13.164052562197821</c:v>
                </c:pt>
                <c:pt idx="8">
                  <c:v>3.6251177913904873</c:v>
                </c:pt>
                <c:pt idx="9">
                  <c:v>0.15092338454755716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0.30560300000000001</c:v>
                </c:pt>
                <c:pt idx="1">
                  <c:v>0.29624200000000001</c:v>
                </c:pt>
                <c:pt idx="2">
                  <c:v>0.28508299999999998</c:v>
                </c:pt>
                <c:pt idx="3">
                  <c:v>0.272924</c:v>
                </c:pt>
                <c:pt idx="4">
                  <c:v>0.258407</c:v>
                </c:pt>
                <c:pt idx="5">
                  <c:v>0.28213199999999999</c:v>
                </c:pt>
                <c:pt idx="6">
                  <c:v>0.27541500000000002</c:v>
                </c:pt>
                <c:pt idx="7">
                  <c:v>0.290603</c:v>
                </c:pt>
                <c:pt idx="8">
                  <c:v>0.28181699999999998</c:v>
                </c:pt>
                <c:pt idx="9">
                  <c:v>0.27621200000000001</c:v>
                </c:pt>
                <c:pt idx="10">
                  <c:v>0.29845300000000002</c:v>
                </c:pt>
                <c:pt idx="11">
                  <c:v>0.28431800000000002</c:v>
                </c:pt>
                <c:pt idx="12">
                  <c:v>0.28783500000000001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293.93341900000001</c:v>
                </c:pt>
                <c:pt idx="1">
                  <c:v>313.17357400000003</c:v>
                </c:pt>
                <c:pt idx="2">
                  <c:v>271.07811399999997</c:v>
                </c:pt>
                <c:pt idx="3">
                  <c:v>294.881663</c:v>
                </c:pt>
                <c:pt idx="4">
                  <c:v>257.29920000000004</c:v>
                </c:pt>
                <c:pt idx="5">
                  <c:v>262.610321</c:v>
                </c:pt>
                <c:pt idx="6">
                  <c:v>252.95584600000001</c:v>
                </c:pt>
                <c:pt idx="7">
                  <c:v>278.93440799999996</c:v>
                </c:pt>
                <c:pt idx="8">
                  <c:v>266.24014199999999</c:v>
                </c:pt>
                <c:pt idx="9">
                  <c:v>252.68561</c:v>
                </c:pt>
                <c:pt idx="10">
                  <c:v>259.69449700000001</c:v>
                </c:pt>
                <c:pt idx="11">
                  <c:v>277.18470400000001</c:v>
                </c:pt>
                <c:pt idx="12">
                  <c:v>243.08525499999999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343.70541600000001</c:v>
                </c:pt>
                <c:pt idx="1">
                  <c:v>348.60822999999999</c:v>
                </c:pt>
                <c:pt idx="2">
                  <c:v>282.95672999999999</c:v>
                </c:pt>
                <c:pt idx="3">
                  <c:v>305.966994</c:v>
                </c:pt>
                <c:pt idx="4">
                  <c:v>315.19474500000001</c:v>
                </c:pt>
                <c:pt idx="5">
                  <c:v>259.74817300000001</c:v>
                </c:pt>
                <c:pt idx="6">
                  <c:v>269.75380799999999</c:v>
                </c:pt>
                <c:pt idx="7">
                  <c:v>264.109264</c:v>
                </c:pt>
                <c:pt idx="8">
                  <c:v>258.28017799999998</c:v>
                </c:pt>
                <c:pt idx="9">
                  <c:v>294.563964</c:v>
                </c:pt>
                <c:pt idx="10">
                  <c:v>354.061463</c:v>
                </c:pt>
                <c:pt idx="11">
                  <c:v>391.04191900000001</c:v>
                </c:pt>
                <c:pt idx="12">
                  <c:v>377.43598400000002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0.66913</c:v>
                </c:pt>
                <c:pt idx="1">
                  <c:v>0.66808100000000004</c:v>
                </c:pt>
                <c:pt idx="2">
                  <c:v>1.414679</c:v>
                </c:pt>
                <c:pt idx="3">
                  <c:v>1.5891550000000001</c:v>
                </c:pt>
                <c:pt idx="4">
                  <c:v>1.2945469999999999</c:v>
                </c:pt>
                <c:pt idx="5">
                  <c:v>2.2523740000000001</c:v>
                </c:pt>
                <c:pt idx="6">
                  <c:v>2.6292490000000002</c:v>
                </c:pt>
                <c:pt idx="7">
                  <c:v>3.5113029999999998</c:v>
                </c:pt>
                <c:pt idx="8">
                  <c:v>3.975784</c:v>
                </c:pt>
                <c:pt idx="9">
                  <c:v>2.2682389999999999</c:v>
                </c:pt>
                <c:pt idx="10">
                  <c:v>1.839432</c:v>
                </c:pt>
                <c:pt idx="11">
                  <c:v>0.25298199999999998</c:v>
                </c:pt>
                <c:pt idx="12">
                  <c:v>1.347515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71.082879000000005</c:v>
                </c:pt>
                <c:pt idx="1">
                  <c:v>53.153264999999998</c:v>
                </c:pt>
                <c:pt idx="2">
                  <c:v>108.660585</c:v>
                </c:pt>
                <c:pt idx="3">
                  <c:v>89.285196999999997</c:v>
                </c:pt>
                <c:pt idx="4">
                  <c:v>94.672573</c:v>
                </c:pt>
                <c:pt idx="5">
                  <c:v>147.02184</c:v>
                </c:pt>
                <c:pt idx="6">
                  <c:v>129.86778200000001</c:v>
                </c:pt>
                <c:pt idx="7">
                  <c:v>169.43657200000001</c:v>
                </c:pt>
                <c:pt idx="8">
                  <c:v>210.63246799999999</c:v>
                </c:pt>
                <c:pt idx="9">
                  <c:v>148.53897900000001</c:v>
                </c:pt>
                <c:pt idx="10">
                  <c:v>116.739524</c:v>
                </c:pt>
                <c:pt idx="11">
                  <c:v>42.198247000000002</c:v>
                </c:pt>
                <c:pt idx="12">
                  <c:v>98.604759000000001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23.810552999999999</c:v>
                </c:pt>
                <c:pt idx="1">
                  <c:v>24.766017999999999</c:v>
                </c:pt>
                <c:pt idx="2">
                  <c:v>26.429468</c:v>
                </c:pt>
                <c:pt idx="3">
                  <c:v>31.966273999999999</c:v>
                </c:pt>
                <c:pt idx="4">
                  <c:v>36.070126000000002</c:v>
                </c:pt>
                <c:pt idx="5">
                  <c:v>35.821750999999999</c:v>
                </c:pt>
                <c:pt idx="6">
                  <c:v>36.232920999999997</c:v>
                </c:pt>
                <c:pt idx="7">
                  <c:v>42.799511000000003</c:v>
                </c:pt>
                <c:pt idx="8">
                  <c:v>40.863112000000001</c:v>
                </c:pt>
                <c:pt idx="9">
                  <c:v>37.483722</c:v>
                </c:pt>
                <c:pt idx="10">
                  <c:v>36.283222000000002</c:v>
                </c:pt>
                <c:pt idx="11">
                  <c:v>28.385072999999998</c:v>
                </c:pt>
                <c:pt idx="12">
                  <c:v>27.153786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dic.-23</c:v>
                </c:pt>
                <c:pt idx="1">
                  <c:v>ene.-24</c:v>
                </c:pt>
                <c:pt idx="2">
                  <c:v>feb.-24</c:v>
                </c:pt>
                <c:pt idx="3">
                  <c:v>mar.-24</c:v>
                </c:pt>
                <c:pt idx="4">
                  <c:v>abr.-24</c:v>
                </c:pt>
                <c:pt idx="5">
                  <c:v>may.-24</c:v>
                </c:pt>
                <c:pt idx="6">
                  <c:v>jun.-24</c:v>
                </c:pt>
                <c:pt idx="7">
                  <c:v>jul.-24</c:v>
                </c:pt>
                <c:pt idx="8">
                  <c:v>ago.-24</c:v>
                </c:pt>
                <c:pt idx="9">
                  <c:v>sep.-24</c:v>
                </c:pt>
                <c:pt idx="10">
                  <c:v>oct.-24</c:v>
                </c:pt>
                <c:pt idx="11">
                  <c:v>nov.-24</c:v>
                </c:pt>
                <c:pt idx="12">
                  <c:v>dic.-24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0.44537900000000002</c:v>
                </c:pt>
                <c:pt idx="1">
                  <c:v>0.50013399999999997</c:v>
                </c:pt>
                <c:pt idx="2">
                  <c:v>0.49944300000000003</c:v>
                </c:pt>
                <c:pt idx="3">
                  <c:v>0.57839200000000002</c:v>
                </c:pt>
                <c:pt idx="4">
                  <c:v>0.26424700000000001</c:v>
                </c:pt>
                <c:pt idx="5">
                  <c:v>0.430983</c:v>
                </c:pt>
                <c:pt idx="6">
                  <c:v>0.49796200000000002</c:v>
                </c:pt>
                <c:pt idx="7">
                  <c:v>0.62341999999999997</c:v>
                </c:pt>
                <c:pt idx="8">
                  <c:v>1.3289139999999999</c:v>
                </c:pt>
                <c:pt idx="9">
                  <c:v>1.1101749999999999</c:v>
                </c:pt>
                <c:pt idx="10">
                  <c:v>1.1028469999999999</c:v>
                </c:pt>
                <c:pt idx="11">
                  <c:v>1.1775519999999999</c:v>
                </c:pt>
                <c:pt idx="12">
                  <c:v>1.130485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Diciembre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61" zoomScale="80" zoomScaleNormal="80" workbookViewId="0">
      <selection activeCell="D68" sqref="D68:D78"/>
    </sheetView>
  </sheetViews>
  <sheetFormatPr baseColWidth="10" defaultColWidth="11.42578125" defaultRowHeight="12"/>
  <cols>
    <col min="1" max="1" width="11.140625" style="102" bestFit="1" customWidth="1"/>
    <col min="2" max="2" width="13.28515625" style="102" bestFit="1" customWidth="1"/>
    <col min="3" max="3" width="24.5703125" style="102" bestFit="1" customWidth="1"/>
    <col min="4" max="4" width="20.42578125" style="102" bestFit="1" customWidth="1"/>
    <col min="5" max="5" width="20.85546875" style="102" bestFit="1" customWidth="1"/>
    <col min="6" max="6" width="33.28515625" style="102" bestFit="1" customWidth="1"/>
    <col min="7" max="7" width="24.5703125" style="102" bestFit="1" customWidth="1"/>
    <col min="8" max="8" width="20.42578125" style="102" bestFit="1" customWidth="1"/>
    <col min="9" max="9" width="20.85546875" style="102" bestFit="1" customWidth="1"/>
    <col min="10" max="10" width="28.85546875" style="102" bestFit="1" customWidth="1"/>
    <col min="11" max="11" width="29" style="102" bestFit="1" customWidth="1"/>
    <col min="12" max="12" width="24.7109375" style="102" bestFit="1" customWidth="1"/>
    <col min="13" max="13" width="25.42578125" style="102" bestFit="1" customWidth="1"/>
    <col min="14" max="14" width="33.28515625" style="102" bestFit="1" customWidth="1"/>
    <col min="15" max="33" width="21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129</v>
      </c>
      <c r="B2" s="133" t="s">
        <v>130</v>
      </c>
    </row>
    <row r="4" spans="1:33" ht="15">
      <c r="A4" s="134" t="s">
        <v>67</v>
      </c>
      <c r="B4" s="199" t="s">
        <v>129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15" t="s">
        <v>15</v>
      </c>
      <c r="C5" s="216"/>
      <c r="D5" s="216"/>
      <c r="E5" s="216"/>
      <c r="F5" s="216"/>
      <c r="G5" s="216"/>
      <c r="H5" s="216"/>
      <c r="I5" s="217"/>
      <c r="J5" s="215" t="s">
        <v>14</v>
      </c>
      <c r="K5" s="216"/>
      <c r="L5" s="216"/>
      <c r="M5" s="216"/>
      <c r="N5" s="216"/>
      <c r="O5" s="216"/>
      <c r="P5" s="216"/>
      <c r="Q5" s="217"/>
      <c r="R5" s="215" t="s">
        <v>57</v>
      </c>
      <c r="S5" s="216"/>
      <c r="T5" s="216"/>
      <c r="U5" s="216"/>
      <c r="V5" s="216"/>
      <c r="W5" s="216"/>
      <c r="X5" s="216"/>
      <c r="Y5" s="217"/>
      <c r="Z5" s="215" t="s">
        <v>58</v>
      </c>
      <c r="AA5" s="216"/>
      <c r="AB5" s="216"/>
      <c r="AC5" s="216"/>
      <c r="AD5" s="216"/>
      <c r="AE5" s="216"/>
      <c r="AF5" s="216"/>
      <c r="AG5" s="216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287.83499999999998</v>
      </c>
      <c r="AA8" s="169">
        <v>305.60300000000001</v>
      </c>
      <c r="AB8" s="170">
        <v>-5.8140790499999997E-2</v>
      </c>
      <c r="AC8" s="169">
        <v>3389.4409999999998</v>
      </c>
      <c r="AD8" s="169">
        <v>3446.8969999999999</v>
      </c>
      <c r="AE8" s="170">
        <v>-1.66689054E-2</v>
      </c>
      <c r="AF8" s="169">
        <v>3389.4409999999998</v>
      </c>
      <c r="AG8" s="170">
        <v>-1.66689054E-2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-800.44</v>
      </c>
      <c r="S9" s="169">
        <v>-695.86500000000001</v>
      </c>
      <c r="T9" s="170">
        <v>0.15028058599999999</v>
      </c>
      <c r="U9" s="169">
        <v>43354.855000000003</v>
      </c>
      <c r="V9" s="169">
        <v>60492.031999999999</v>
      </c>
      <c r="W9" s="170">
        <v>-0.2832964348</v>
      </c>
      <c r="X9" s="169">
        <v>43354.855000000003</v>
      </c>
      <c r="Y9" s="170">
        <v>-0.2832964348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14502.299000000001</v>
      </c>
      <c r="C10" s="169">
        <v>15413.653</v>
      </c>
      <c r="D10" s="170">
        <v>-5.9126412099999998E-2</v>
      </c>
      <c r="E10" s="169">
        <v>185874.98</v>
      </c>
      <c r="F10" s="169">
        <v>185976.408</v>
      </c>
      <c r="G10" s="170">
        <v>-5.4538099999999995E-4</v>
      </c>
      <c r="H10" s="169">
        <v>185874.98</v>
      </c>
      <c r="I10" s="170">
        <v>-5.4538099999999995E-4</v>
      </c>
      <c r="J10" s="169">
        <v>15602.386</v>
      </c>
      <c r="K10" s="169">
        <v>14779.23</v>
      </c>
      <c r="L10" s="170">
        <v>5.5696812399999997E-2</v>
      </c>
      <c r="M10" s="169">
        <v>191315.274</v>
      </c>
      <c r="N10" s="169">
        <v>191099.948</v>
      </c>
      <c r="O10" s="170">
        <v>1.1267715999999999E-3</v>
      </c>
      <c r="P10" s="169">
        <v>191315.274</v>
      </c>
      <c r="Q10" s="170">
        <v>1.1267715999999999E-3</v>
      </c>
      <c r="R10" s="169">
        <v>7426.1009999999997</v>
      </c>
      <c r="S10" s="169">
        <v>6265.5309999999999</v>
      </c>
      <c r="T10" s="170">
        <v>0.18523090859999999</v>
      </c>
      <c r="U10" s="169">
        <v>253220.84899999999</v>
      </c>
      <c r="V10" s="169">
        <v>251410.96599999999</v>
      </c>
      <c r="W10" s="170">
        <v>7.1989024000000002E-3</v>
      </c>
      <c r="X10" s="169">
        <v>253220.84899999999</v>
      </c>
      <c r="Y10" s="170">
        <v>7.1989024000000002E-3</v>
      </c>
      <c r="Z10" s="169">
        <v>155104.217</v>
      </c>
      <c r="AA10" s="169">
        <v>171035.71599999999</v>
      </c>
      <c r="AB10" s="170">
        <v>-9.3147205600000005E-2</v>
      </c>
      <c r="AC10" s="169">
        <v>1837606.933</v>
      </c>
      <c r="AD10" s="169">
        <v>1882975.135</v>
      </c>
      <c r="AE10" s="170">
        <v>-2.4093893299999999E-2</v>
      </c>
      <c r="AF10" s="169">
        <v>1837606.933</v>
      </c>
      <c r="AG10" s="170">
        <v>-2.4093893299999999E-2</v>
      </c>
    </row>
    <row r="11" spans="1:33">
      <c r="A11" s="133" t="s">
        <v>9</v>
      </c>
      <c r="B11" s="169">
        <v>0</v>
      </c>
      <c r="C11" s="169">
        <v>10.246</v>
      </c>
      <c r="D11" s="170">
        <v>-1</v>
      </c>
      <c r="E11" s="169">
        <v>640.072</v>
      </c>
      <c r="F11" s="169">
        <v>253.239</v>
      </c>
      <c r="G11" s="170">
        <v>1.5275411765</v>
      </c>
      <c r="H11" s="169">
        <v>640.072</v>
      </c>
      <c r="I11" s="170">
        <v>1.5275411765</v>
      </c>
      <c r="J11" s="169">
        <v>0</v>
      </c>
      <c r="K11" s="169">
        <v>1.9410000000000001</v>
      </c>
      <c r="L11" s="170">
        <v>-1</v>
      </c>
      <c r="M11" s="169">
        <v>252.227</v>
      </c>
      <c r="N11" s="169">
        <v>44.136000000000003</v>
      </c>
      <c r="O11" s="170">
        <v>4.7147679898000003</v>
      </c>
      <c r="P11" s="169">
        <v>252.227</v>
      </c>
      <c r="Q11" s="170">
        <v>4.7147679898000003</v>
      </c>
      <c r="R11" s="169">
        <v>25142.253000000001</v>
      </c>
      <c r="S11" s="169">
        <v>22604.487000000001</v>
      </c>
      <c r="T11" s="170">
        <v>0.1122682413</v>
      </c>
      <c r="U11" s="169">
        <v>409912.93</v>
      </c>
      <c r="V11" s="169">
        <v>498173.924</v>
      </c>
      <c r="W11" s="170">
        <v>-0.1771690363</v>
      </c>
      <c r="X11" s="169">
        <v>409912.93</v>
      </c>
      <c r="Y11" s="170">
        <v>-0.1771690363</v>
      </c>
      <c r="Z11" s="169">
        <v>20168.594000000001</v>
      </c>
      <c r="AA11" s="169">
        <v>26447.643</v>
      </c>
      <c r="AB11" s="170">
        <v>-0.23741431330000001</v>
      </c>
      <c r="AC11" s="169">
        <v>250724.20600000001</v>
      </c>
      <c r="AD11" s="169">
        <v>255972.228</v>
      </c>
      <c r="AE11" s="170">
        <v>-2.0502310100000001E-2</v>
      </c>
      <c r="AF11" s="169">
        <v>250724.20600000001</v>
      </c>
      <c r="AG11" s="170">
        <v>-2.0502310100000001E-2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67812.444000000003</v>
      </c>
      <c r="AA12" s="169">
        <v>96450.06</v>
      </c>
      <c r="AB12" s="170">
        <v>-0.29691651819999998</v>
      </c>
      <c r="AC12" s="169">
        <v>1141492.1950000001</v>
      </c>
      <c r="AD12" s="169">
        <v>1217649.996</v>
      </c>
      <c r="AE12" s="170">
        <v>-6.2544903099999993E-2</v>
      </c>
      <c r="AF12" s="169">
        <v>1141492.1950000001</v>
      </c>
      <c r="AG12" s="170">
        <v>-6.2544903099999993E-2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286784.95500000002</v>
      </c>
      <c r="S13" s="169">
        <v>233914.94</v>
      </c>
      <c r="T13" s="170">
        <v>0.2260223951</v>
      </c>
      <c r="U13" s="169">
        <v>2899118.1839999999</v>
      </c>
      <c r="V13" s="169">
        <v>3071231.625</v>
      </c>
      <c r="W13" s="170">
        <v>-5.6040527700000002E-2</v>
      </c>
      <c r="X13" s="169">
        <v>2899118.1839999999</v>
      </c>
      <c r="Y13" s="170">
        <v>-5.6040527700000002E-2</v>
      </c>
      <c r="Z13" s="169">
        <v>377435.984</v>
      </c>
      <c r="AA13" s="169">
        <v>343705.41600000003</v>
      </c>
      <c r="AB13" s="170">
        <v>9.8138017100000002E-2</v>
      </c>
      <c r="AC13" s="169">
        <v>3721721.452</v>
      </c>
      <c r="AD13" s="169">
        <v>3696717.6510000001</v>
      </c>
      <c r="AE13" s="170">
        <v>6.7637844000000003E-3</v>
      </c>
      <c r="AF13" s="169">
        <v>3721721.452</v>
      </c>
      <c r="AG13" s="170">
        <v>6.7637844000000003E-3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0</v>
      </c>
      <c r="Z14" s="169">
        <v>0</v>
      </c>
      <c r="AA14" s="169">
        <v>0</v>
      </c>
      <c r="AB14" s="170">
        <v>0</v>
      </c>
      <c r="AC14" s="169">
        <v>0</v>
      </c>
      <c r="AD14" s="169">
        <v>-65.988</v>
      </c>
      <c r="AE14" s="170">
        <v>-1</v>
      </c>
      <c r="AF14" s="169">
        <v>0</v>
      </c>
      <c r="AG14" s="170">
        <v>-1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1347.5150000000001</v>
      </c>
      <c r="AA15" s="169">
        <v>669.13</v>
      </c>
      <c r="AB15" s="170">
        <v>1.013831393</v>
      </c>
      <c r="AC15" s="169">
        <v>23043.34</v>
      </c>
      <c r="AD15" s="169">
        <v>17476.772000000001</v>
      </c>
      <c r="AE15" s="170">
        <v>0.31851236599999999</v>
      </c>
      <c r="AF15" s="169">
        <v>23043.34</v>
      </c>
      <c r="AG15" s="170">
        <v>0.31851236599999999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0</v>
      </c>
      <c r="T16" s="170">
        <v>0</v>
      </c>
      <c r="U16" s="169">
        <v>0</v>
      </c>
      <c r="V16" s="169">
        <v>1268.07</v>
      </c>
      <c r="W16" s="170">
        <v>-1</v>
      </c>
      <c r="X16" s="169">
        <v>0</v>
      </c>
      <c r="Y16" s="170">
        <v>-1</v>
      </c>
      <c r="Z16" s="169">
        <v>98604.759000000005</v>
      </c>
      <c r="AA16" s="169">
        <v>71082.879000000001</v>
      </c>
      <c r="AB16" s="170">
        <v>0.38718015350000001</v>
      </c>
      <c r="AC16" s="169">
        <v>1408811.791</v>
      </c>
      <c r="AD16" s="169">
        <v>1327461.4080000001</v>
      </c>
      <c r="AE16" s="170">
        <v>6.1282672699999999E-2</v>
      </c>
      <c r="AF16" s="169">
        <v>1408811.791</v>
      </c>
      <c r="AG16" s="170">
        <v>6.1282672699999999E-2</v>
      </c>
    </row>
    <row r="17" spans="1:33">
      <c r="A17" s="133" t="s">
        <v>4</v>
      </c>
      <c r="B17" s="169">
        <v>0</v>
      </c>
      <c r="C17" s="169">
        <v>6.5000000000000002E-2</v>
      </c>
      <c r="D17" s="170">
        <v>-1</v>
      </c>
      <c r="E17" s="169">
        <v>0.112</v>
      </c>
      <c r="F17" s="169">
        <v>0.23699999999999999</v>
      </c>
      <c r="G17" s="170">
        <v>-0.5274261603</v>
      </c>
      <c r="H17" s="169">
        <v>0.112</v>
      </c>
      <c r="I17" s="170">
        <v>-0.5274261603</v>
      </c>
      <c r="J17" s="169">
        <v>3.581</v>
      </c>
      <c r="K17" s="169">
        <v>3.5329999999999999</v>
      </c>
      <c r="L17" s="170">
        <v>1.35861874E-2</v>
      </c>
      <c r="M17" s="169">
        <v>69.495000000000005</v>
      </c>
      <c r="N17" s="169">
        <v>76.527000000000001</v>
      </c>
      <c r="O17" s="170">
        <v>-9.1889137199999998E-2</v>
      </c>
      <c r="P17" s="169">
        <v>69.495000000000005</v>
      </c>
      <c r="Q17" s="170">
        <v>-9.1889137199999998E-2</v>
      </c>
      <c r="R17" s="169">
        <v>24970.147000000001</v>
      </c>
      <c r="S17" s="169">
        <v>23146.239000000001</v>
      </c>
      <c r="T17" s="170">
        <v>7.8799324599999998E-2</v>
      </c>
      <c r="U17" s="169">
        <v>506939.30499999999</v>
      </c>
      <c r="V17" s="169">
        <v>390514.87099999998</v>
      </c>
      <c r="W17" s="170">
        <v>0.2981306031</v>
      </c>
      <c r="X17" s="169">
        <v>506939.30499999999</v>
      </c>
      <c r="Y17" s="170">
        <v>0.2981306031</v>
      </c>
      <c r="Z17" s="169">
        <v>27153.786</v>
      </c>
      <c r="AA17" s="169">
        <v>23810.553</v>
      </c>
      <c r="AB17" s="170">
        <v>0.14040971660000001</v>
      </c>
      <c r="AC17" s="169">
        <v>404254.984</v>
      </c>
      <c r="AD17" s="169">
        <v>346581.11099999998</v>
      </c>
      <c r="AE17" s="170">
        <v>0.16640801</v>
      </c>
      <c r="AF17" s="169">
        <v>404254.984</v>
      </c>
      <c r="AG17" s="170">
        <v>0.16640801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230.001</v>
      </c>
      <c r="S18" s="169">
        <v>126.25700000000001</v>
      </c>
      <c r="T18" s="170">
        <v>0.82168909450000005</v>
      </c>
      <c r="U18" s="169">
        <v>2007.903</v>
      </c>
      <c r="V18" s="169">
        <v>1563.105</v>
      </c>
      <c r="W18" s="170">
        <v>0.28456053819999999</v>
      </c>
      <c r="X18" s="169">
        <v>2007.903</v>
      </c>
      <c r="Y18" s="170">
        <v>0.28456053819999999</v>
      </c>
      <c r="Z18" s="169">
        <v>1130.4849999999999</v>
      </c>
      <c r="AA18" s="169">
        <v>445.37900000000002</v>
      </c>
      <c r="AB18" s="170">
        <v>1.5382539365000001</v>
      </c>
      <c r="AC18" s="169">
        <v>9244.5540000000001</v>
      </c>
      <c r="AD18" s="169">
        <v>6967.9579999999996</v>
      </c>
      <c r="AE18" s="170">
        <v>0.3267235537</v>
      </c>
      <c r="AF18" s="169">
        <v>9244.5540000000001</v>
      </c>
      <c r="AG18" s="170">
        <v>0.3267235537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3266.8629999999998</v>
      </c>
      <c r="S19" s="169">
        <v>3156.5250000000001</v>
      </c>
      <c r="T19" s="170">
        <v>3.4955528600000001E-2</v>
      </c>
      <c r="U19" s="169">
        <v>36684.004999999997</v>
      </c>
      <c r="V19" s="169">
        <v>36965.464999999997</v>
      </c>
      <c r="W19" s="170">
        <v>-7.6141339000000002E-3</v>
      </c>
      <c r="X19" s="169">
        <v>36684.004999999997</v>
      </c>
      <c r="Y19" s="170">
        <v>-7.6141339000000002E-3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394.67200000000003</v>
      </c>
      <c r="K20" s="169">
        <v>650.44650000000001</v>
      </c>
      <c r="L20" s="170">
        <v>-0.39322911259999999</v>
      </c>
      <c r="M20" s="169">
        <v>5689.4025000000001</v>
      </c>
      <c r="N20" s="169">
        <v>5413.7749999999996</v>
      </c>
      <c r="O20" s="170">
        <v>5.0912256199999999E-2</v>
      </c>
      <c r="P20" s="169">
        <v>5689.4025000000001</v>
      </c>
      <c r="Q20" s="170">
        <v>5.0912256199999999E-2</v>
      </c>
      <c r="R20" s="169">
        <v>12261.645</v>
      </c>
      <c r="S20" s="169">
        <v>8991.8354999999992</v>
      </c>
      <c r="T20" s="170">
        <v>0.36364205059999999</v>
      </c>
      <c r="U20" s="169">
        <v>145623.897</v>
      </c>
      <c r="V20" s="169">
        <v>133135.00049999999</v>
      </c>
      <c r="W20" s="170">
        <v>9.3806260200000005E-2</v>
      </c>
      <c r="X20" s="169">
        <v>145623.897</v>
      </c>
      <c r="Y20" s="170">
        <v>9.3806260200000005E-2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394.67200000000003</v>
      </c>
      <c r="K21" s="169">
        <v>650.44650000000001</v>
      </c>
      <c r="L21" s="170">
        <v>-0.39322911259999999</v>
      </c>
      <c r="M21" s="169">
        <v>5689.4025000000001</v>
      </c>
      <c r="N21" s="169">
        <v>5413.7749999999996</v>
      </c>
      <c r="O21" s="170">
        <v>5.0912256199999999E-2</v>
      </c>
      <c r="P21" s="169">
        <v>5689.4025000000001</v>
      </c>
      <c r="Q21" s="170">
        <v>5.0912256199999999E-2</v>
      </c>
      <c r="R21" s="169">
        <v>12261.645</v>
      </c>
      <c r="S21" s="169">
        <v>8991.8354999999992</v>
      </c>
      <c r="T21" s="170">
        <v>0.36364205059999999</v>
      </c>
      <c r="U21" s="169">
        <v>145623.897</v>
      </c>
      <c r="V21" s="169">
        <v>133135.00049999999</v>
      </c>
      <c r="W21" s="170">
        <v>9.3806260200000005E-2</v>
      </c>
      <c r="X21" s="169">
        <v>145623.897</v>
      </c>
      <c r="Y21" s="170">
        <v>9.3806260200000005E-2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14502.299000000001</v>
      </c>
      <c r="C22" s="171">
        <v>15423.964</v>
      </c>
      <c r="D22" s="172">
        <v>-5.9755390999999998E-2</v>
      </c>
      <c r="E22" s="171">
        <v>186515.16399999999</v>
      </c>
      <c r="F22" s="171">
        <v>186229.88399999999</v>
      </c>
      <c r="G22" s="172">
        <v>1.5318701000000001E-3</v>
      </c>
      <c r="H22" s="171">
        <v>186515.16399999999</v>
      </c>
      <c r="I22" s="172">
        <v>1.5318701000000001E-3</v>
      </c>
      <c r="J22" s="171">
        <v>16395.311000000002</v>
      </c>
      <c r="K22" s="171">
        <v>16085.597</v>
      </c>
      <c r="L22" s="172">
        <v>1.9254119100000001E-2</v>
      </c>
      <c r="M22" s="171">
        <v>203015.80100000001</v>
      </c>
      <c r="N22" s="171">
        <v>202048.16099999999</v>
      </c>
      <c r="O22" s="172">
        <v>4.7891551999999999E-3</v>
      </c>
      <c r="P22" s="171">
        <v>203015.80100000001</v>
      </c>
      <c r="Q22" s="172">
        <v>4.7891551999999999E-3</v>
      </c>
      <c r="R22" s="171">
        <v>371543.17</v>
      </c>
      <c r="S22" s="171">
        <v>306501.78499999997</v>
      </c>
      <c r="T22" s="172">
        <v>0.2122055668</v>
      </c>
      <c r="U22" s="171">
        <v>4442485.8250000002</v>
      </c>
      <c r="V22" s="171">
        <v>4577890.0590000004</v>
      </c>
      <c r="W22" s="172">
        <v>-2.95778693E-2</v>
      </c>
      <c r="X22" s="171">
        <v>4442485.8250000002</v>
      </c>
      <c r="Y22" s="172">
        <v>-2.95778693E-2</v>
      </c>
      <c r="Z22" s="171">
        <v>749045.61899999995</v>
      </c>
      <c r="AA22" s="171">
        <v>733952.37899999996</v>
      </c>
      <c r="AB22" s="172">
        <v>2.0564331500000001E-2</v>
      </c>
      <c r="AC22" s="171">
        <v>8800288.8959999997</v>
      </c>
      <c r="AD22" s="171">
        <v>8755183.1679999996</v>
      </c>
      <c r="AE22" s="172">
        <v>5.1518885999999996E-3</v>
      </c>
      <c r="AF22" s="171">
        <v>8800288.8959999997</v>
      </c>
      <c r="AG22" s="172">
        <v>5.1518885999999996E-3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77984.769</v>
      </c>
      <c r="S23" s="169">
        <v>112440.268</v>
      </c>
      <c r="T23" s="170">
        <v>-0.3064338036</v>
      </c>
      <c r="U23" s="169">
        <v>1579807.8840000001</v>
      </c>
      <c r="V23" s="169">
        <v>1426059.93</v>
      </c>
      <c r="W23" s="170">
        <v>0.1078131085</v>
      </c>
      <c r="X23" s="169">
        <v>1579807.8840000001</v>
      </c>
      <c r="Y23" s="170">
        <v>0.1078131085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14502.299000000001</v>
      </c>
      <c r="C24" s="171">
        <v>15423.964</v>
      </c>
      <c r="D24" s="172">
        <v>-5.9755390999999998E-2</v>
      </c>
      <c r="E24" s="171">
        <v>186515.16399999999</v>
      </c>
      <c r="F24" s="171">
        <v>186229.88399999999</v>
      </c>
      <c r="G24" s="172">
        <v>1.5318701000000001E-3</v>
      </c>
      <c r="H24" s="171">
        <v>186515.16399999999</v>
      </c>
      <c r="I24" s="172">
        <v>1.5318701000000001E-3</v>
      </c>
      <c r="J24" s="171">
        <v>16395.311000000002</v>
      </c>
      <c r="K24" s="171">
        <v>16085.597</v>
      </c>
      <c r="L24" s="172">
        <v>1.9254119100000001E-2</v>
      </c>
      <c r="M24" s="171">
        <v>203015.80100000001</v>
      </c>
      <c r="N24" s="171">
        <v>202048.16099999999</v>
      </c>
      <c r="O24" s="172">
        <v>4.7891551999999999E-3</v>
      </c>
      <c r="P24" s="171">
        <v>203015.80100000001</v>
      </c>
      <c r="Q24" s="172">
        <v>4.7891551999999999E-3</v>
      </c>
      <c r="R24" s="171">
        <v>449527.93900000001</v>
      </c>
      <c r="S24" s="171">
        <v>418942.05300000001</v>
      </c>
      <c r="T24" s="172">
        <v>7.3007438100000002E-2</v>
      </c>
      <c r="U24" s="171">
        <v>6022293.7089999998</v>
      </c>
      <c r="V24" s="171">
        <v>6003949.9890000001</v>
      </c>
      <c r="W24" s="172">
        <v>3.0552753000000002E-3</v>
      </c>
      <c r="X24" s="171">
        <v>6022293.7089999998</v>
      </c>
      <c r="Y24" s="172">
        <v>3.0552753000000002E-3</v>
      </c>
      <c r="Z24" s="171">
        <v>749045.61899999995</v>
      </c>
      <c r="AA24" s="171">
        <v>733952.37899999996</v>
      </c>
      <c r="AB24" s="172">
        <v>2.0564331500000001E-2</v>
      </c>
      <c r="AC24" s="171">
        <v>8800288.8959999997</v>
      </c>
      <c r="AD24" s="171">
        <v>8755183.1679999996</v>
      </c>
      <c r="AE24" s="172">
        <v>5.1518885999999996E-3</v>
      </c>
      <c r="AF24" s="171">
        <v>8800288.8959999997</v>
      </c>
      <c r="AG24" s="172">
        <v>5.1518885999999996E-3</v>
      </c>
    </row>
    <row r="25" spans="1:33">
      <c r="R25" s="162">
        <f>SUM(R10,R14)</f>
        <v>7426.1009999999997</v>
      </c>
      <c r="S25" s="162">
        <f>SUM(S10,S14)</f>
        <v>6265.5309999999999</v>
      </c>
      <c r="T25" s="163">
        <f>((R25/S25)-1)*100</f>
        <v>18.523090860136193</v>
      </c>
    </row>
    <row r="26" spans="1:33">
      <c r="A26" s="102" t="s">
        <v>103</v>
      </c>
      <c r="B26" s="162">
        <f>SUM(B24,J24,R24,Z24)</f>
        <v>1229471.1680000001</v>
      </c>
      <c r="C26" s="162">
        <f>SUM(C24,K24,S24,AA24)</f>
        <v>1184403.993</v>
      </c>
      <c r="D26" s="163">
        <f>((B26/C26)-1)*100</f>
        <v>3.8050509172844471</v>
      </c>
      <c r="R26" s="179">
        <f>R23/R24</f>
        <v>0.17348147297247302</v>
      </c>
      <c r="S26" s="179">
        <f>S23/S24</f>
        <v>0.26839097959927166</v>
      </c>
      <c r="Z26" s="163"/>
    </row>
    <row r="29" spans="1:33" ht="15">
      <c r="A29" s="134" t="s">
        <v>67</v>
      </c>
      <c r="B29" s="199" t="str">
        <f>A2</f>
        <v>Diciembre 2024</v>
      </c>
      <c r="C29" s="200"/>
    </row>
    <row r="30" spans="1:33" ht="15">
      <c r="A30" s="134" t="s">
        <v>69</v>
      </c>
      <c r="B30" s="210" t="s">
        <v>72</v>
      </c>
      <c r="C30" s="211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3.5575000000000001</v>
      </c>
      <c r="C41" s="176">
        <v>648.11</v>
      </c>
      <c r="D41" s="167"/>
    </row>
    <row r="42" spans="1:4">
      <c r="A42" s="133" t="s">
        <v>4</v>
      </c>
      <c r="B42" s="176">
        <v>336.82939499999998</v>
      </c>
      <c r="C42" s="176">
        <v>290.298045</v>
      </c>
      <c r="D42" s="167"/>
    </row>
    <row r="43" spans="1:4">
      <c r="A43" s="133" t="s">
        <v>22</v>
      </c>
      <c r="B43" s="176">
        <v>3.9319999999999999</v>
      </c>
      <c r="C43" s="176">
        <v>8.8059999999999992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2237.2418950000001</v>
      </c>
      <c r="C47" s="177">
        <f>SUM(C33:C46)</f>
        <v>3354.684045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10.781131916895379</v>
      </c>
      <c r="D52" s="165"/>
      <c r="F52" s="105" t="s">
        <v>10</v>
      </c>
      <c r="G52" s="106">
        <f>C35</f>
        <v>487.64</v>
      </c>
      <c r="H52" s="107">
        <f>G52/$G$62*100</f>
        <v>14.53609321947337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6.2308863566136656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15.523071413421292</v>
      </c>
    </row>
    <row r="54" spans="1:8">
      <c r="A54" s="105" t="s">
        <v>9</v>
      </c>
      <c r="B54" s="106">
        <f t="shared" si="1"/>
        <v>603.1</v>
      </c>
      <c r="C54" s="107">
        <f t="shared" si="0"/>
        <v>26.957299581590398</v>
      </c>
      <c r="D54" s="165"/>
      <c r="F54" s="105" t="s">
        <v>8</v>
      </c>
      <c r="G54" s="106">
        <f>C37</f>
        <v>482.64</v>
      </c>
      <c r="H54" s="107">
        <f t="shared" si="2"/>
        <v>14.387047886651274</v>
      </c>
    </row>
    <row r="55" spans="1:8">
      <c r="A55" s="105" t="s">
        <v>25</v>
      </c>
      <c r="B55" s="106">
        <f>B38</f>
        <v>822.9</v>
      </c>
      <c r="C55" s="107">
        <f t="shared" si="0"/>
        <v>36.781896577169185</v>
      </c>
      <c r="D55" s="165"/>
      <c r="F55" s="105" t="s">
        <v>25</v>
      </c>
      <c r="G55" s="106">
        <f>C38</f>
        <v>865.4</v>
      </c>
      <c r="H55" s="107">
        <f t="shared" si="2"/>
        <v>25.79676620484836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1.1387063427608128</v>
      </c>
    </row>
    <row r="57" spans="1:8">
      <c r="A57" s="105" t="s">
        <v>23</v>
      </c>
      <c r="B57" s="106">
        <f>B44</f>
        <v>11.523</v>
      </c>
      <c r="C57" s="107">
        <f t="shared" si="0"/>
        <v>0.51505382702481528</v>
      </c>
      <c r="D57" s="165"/>
      <c r="F57" s="105" t="s">
        <v>12</v>
      </c>
      <c r="G57" s="107">
        <f>C33</f>
        <v>1.52</v>
      </c>
      <c r="H57" s="107">
        <f t="shared" si="2"/>
        <v>4.5309781177917161E-2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1.6717012176280563</v>
      </c>
      <c r="D58" s="165"/>
      <c r="F58" s="105" t="s">
        <v>6</v>
      </c>
      <c r="G58" s="106">
        <f>C40</f>
        <v>11.32</v>
      </c>
      <c r="H58" s="107">
        <f t="shared" si="2"/>
        <v>0.33743863350922515</v>
      </c>
    </row>
    <row r="59" spans="1:8">
      <c r="A59" s="105" t="s">
        <v>54</v>
      </c>
      <c r="B59" s="106">
        <f>B45</f>
        <v>37.4</v>
      </c>
      <c r="C59" s="107">
        <f t="shared" si="3"/>
        <v>1.6717012176280563</v>
      </c>
      <c r="D59" s="165"/>
      <c r="F59" s="105" t="s">
        <v>5</v>
      </c>
      <c r="G59" s="106">
        <f>C41</f>
        <v>648.11</v>
      </c>
      <c r="H59" s="107">
        <f t="shared" si="2"/>
        <v>19.319554131065715</v>
      </c>
    </row>
    <row r="60" spans="1:8">
      <c r="A60" s="105" t="s">
        <v>5</v>
      </c>
      <c r="B60" s="106">
        <f>B41</f>
        <v>3.5575000000000001</v>
      </c>
      <c r="C60" s="107">
        <f t="shared" si="3"/>
        <v>0.15901275619550298</v>
      </c>
      <c r="D60" s="165"/>
      <c r="F60" s="105" t="s">
        <v>4</v>
      </c>
      <c r="G60" s="106">
        <f>C42</f>
        <v>290.298045</v>
      </c>
      <c r="H60" s="107">
        <f t="shared" si="2"/>
        <v>8.653513746925757</v>
      </c>
    </row>
    <row r="61" spans="1:8">
      <c r="A61" s="105" t="s">
        <v>4</v>
      </c>
      <c r="B61" s="106">
        <f>B42</f>
        <v>336.82939499999998</v>
      </c>
      <c r="C61" s="107">
        <f t="shared" si="3"/>
        <v>15.055564431936405</v>
      </c>
      <c r="D61" s="165"/>
      <c r="F61" s="105" t="s">
        <v>22</v>
      </c>
      <c r="G61" s="106">
        <f>C43</f>
        <v>8.8059999999999992</v>
      </c>
      <c r="H61" s="107">
        <f t="shared" si="2"/>
        <v>0.26249864016627533</v>
      </c>
    </row>
    <row r="62" spans="1:8">
      <c r="A62" s="105" t="s">
        <v>22</v>
      </c>
      <c r="B62" s="106">
        <f>B43</f>
        <v>3.9319999999999999</v>
      </c>
      <c r="C62" s="107">
        <f t="shared" si="3"/>
        <v>0.17575211731854329</v>
      </c>
      <c r="D62" s="165"/>
      <c r="F62" s="108" t="s">
        <v>20</v>
      </c>
      <c r="G62" s="109">
        <f>SUM(G52:G61)</f>
        <v>3354.684045</v>
      </c>
      <c r="H62" s="110">
        <f>SUM(H52:H61)</f>
        <v>100</v>
      </c>
    </row>
    <row r="63" spans="1:8">
      <c r="A63" s="108" t="s">
        <v>20</v>
      </c>
      <c r="B63" s="109">
        <f>SUM(B52:B62)</f>
        <v>2237.2418949999997</v>
      </c>
      <c r="C63" s="110">
        <f>SUM(C52:C62)</f>
        <v>100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80">
        <f>(C68/SUM($C$68:$C$78))*100</f>
        <v>0</v>
      </c>
      <c r="F68" s="105" t="s">
        <v>10</v>
      </c>
      <c r="G68" s="107">
        <f>SUM(Z10,Z14)/Z$24*100</f>
        <v>20.706911977813732</v>
      </c>
    </row>
    <row r="69" spans="1:7">
      <c r="A69" s="105" t="s">
        <v>10</v>
      </c>
      <c r="B69" s="107">
        <f t="shared" ref="B69:B78" si="4">C69/$C$80*100</f>
        <v>1.6490413099193106</v>
      </c>
      <c r="C69" s="106">
        <f>R10</f>
        <v>7426.1009999999997</v>
      </c>
      <c r="D69" s="180">
        <f t="shared" ref="D69:D78" si="5">(C69/SUM($C$68:$C$78))*100</f>
        <v>1.9944214968534035</v>
      </c>
      <c r="F69" s="105" t="s">
        <v>9</v>
      </c>
      <c r="G69" s="107">
        <f>Z11/Z$24*100</f>
        <v>2.6925721863143295</v>
      </c>
    </row>
    <row r="70" spans="1:7">
      <c r="A70" s="105" t="s">
        <v>9</v>
      </c>
      <c r="B70" s="107">
        <f t="shared" si="4"/>
        <v>5.5830931765461749</v>
      </c>
      <c r="C70" s="106">
        <f>R11</f>
        <v>25142.253000000001</v>
      </c>
      <c r="D70" s="180">
        <f t="shared" si="5"/>
        <v>6.7524330550482654</v>
      </c>
      <c r="F70" s="105" t="s">
        <v>8</v>
      </c>
      <c r="G70" s="107">
        <f>Z12/Z$24*100</f>
        <v>9.0531794432669948</v>
      </c>
    </row>
    <row r="71" spans="1:7">
      <c r="A71" s="105" t="s">
        <v>25</v>
      </c>
      <c r="B71" s="107">
        <f t="shared" si="4"/>
        <v>63.683518155536888</v>
      </c>
      <c r="C71" s="106">
        <f>R13</f>
        <v>286784.95500000002</v>
      </c>
      <c r="D71" s="180">
        <f>(C71/SUM($C$68:$C$78))*100</f>
        <v>77.021586324524264</v>
      </c>
      <c r="F71" s="105" t="s">
        <v>25</v>
      </c>
      <c r="G71" s="107">
        <f>Z13/Z$24*100</f>
        <v>50.388918168146979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1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0.72544017928747928</v>
      </c>
      <c r="C73" s="106">
        <f>R19</f>
        <v>3266.8629999999998</v>
      </c>
      <c r="D73" s="180">
        <f t="shared" si="5"/>
        <v>0.8773785590143468</v>
      </c>
      <c r="F73" s="105" t="s">
        <v>12</v>
      </c>
      <c r="G73" s="107">
        <f>Z8/Z$24*100</f>
        <v>3.8426898535801994E-2</v>
      </c>
    </row>
    <row r="74" spans="1:7">
      <c r="A74" s="105" t="s">
        <v>55</v>
      </c>
      <c r="B74" s="107">
        <f t="shared" si="4"/>
        <v>2.7228230712948247</v>
      </c>
      <c r="C74" s="106">
        <f>R21</f>
        <v>12261.645</v>
      </c>
      <c r="D74" s="180">
        <f t="shared" si="5"/>
        <v>3.2930993498183034</v>
      </c>
      <c r="F74" s="105" t="s">
        <v>6</v>
      </c>
      <c r="G74" s="107">
        <f>Z15/Z$24*100</f>
        <v>0.17989758778630549</v>
      </c>
    </row>
    <row r="75" spans="1:7">
      <c r="A75" s="105" t="s">
        <v>54</v>
      </c>
      <c r="B75" s="107">
        <f t="shared" si="4"/>
        <v>2.7228230712948247</v>
      </c>
      <c r="C75" s="106">
        <f>R20</f>
        <v>12261.645</v>
      </c>
      <c r="D75" s="180">
        <f t="shared" si="5"/>
        <v>3.2930993498183034</v>
      </c>
      <c r="F75" s="105" t="s">
        <v>5</v>
      </c>
      <c r="G75" s="107">
        <f>Z16/Z$24*100</f>
        <v>13.164052562197821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0">
        <f t="shared" si="5"/>
        <v>0</v>
      </c>
      <c r="F76" s="105" t="s">
        <v>4</v>
      </c>
      <c r="G76" s="107">
        <f>Z17/Z$24*100</f>
        <v>3.6251177913904873</v>
      </c>
    </row>
    <row r="77" spans="1:7">
      <c r="A77" s="105" t="s">
        <v>4</v>
      </c>
      <c r="B77" s="107">
        <f t="shared" si="4"/>
        <v>5.5448752875509975</v>
      </c>
      <c r="C77" s="106">
        <f>R17</f>
        <v>24970.147000000001</v>
      </c>
      <c r="D77" s="180">
        <f t="shared" si="5"/>
        <v>6.7062106960825778</v>
      </c>
      <c r="F77" s="105" t="s">
        <v>22</v>
      </c>
      <c r="G77" s="107">
        <f>Z18/Z$24*100</f>
        <v>0.15092338454755716</v>
      </c>
    </row>
    <row r="78" spans="1:7">
      <c r="A78" s="105" t="s">
        <v>22</v>
      </c>
      <c r="B78" s="107">
        <f t="shared" si="4"/>
        <v>5.1074063000590954E-2</v>
      </c>
      <c r="C78" s="106">
        <f>R18</f>
        <v>230.001</v>
      </c>
      <c r="D78" s="180">
        <f t="shared" si="5"/>
        <v>6.1771168840523402E-2</v>
      </c>
      <c r="F78" s="108" t="s">
        <v>20</v>
      </c>
      <c r="G78" s="110">
        <f>SUM(G68:G77)</f>
        <v>100.00000000000001</v>
      </c>
    </row>
    <row r="79" spans="1:7">
      <c r="A79" s="105" t="s">
        <v>21</v>
      </c>
      <c r="B79" s="107">
        <f>C79/$C$80*100</f>
        <v>17.317311685568896</v>
      </c>
      <c r="C79" s="106">
        <f>R23</f>
        <v>77984.769</v>
      </c>
      <c r="D79" s="165"/>
    </row>
    <row r="80" spans="1:7">
      <c r="A80" s="108" t="s">
        <v>20</v>
      </c>
      <c r="B80" s="110">
        <f>SUM(B68:B79)</f>
        <v>99.999999999999972</v>
      </c>
      <c r="C80" s="109">
        <f>SUM(C68:C79)</f>
        <v>450328.37900000007</v>
      </c>
      <c r="D80" s="165"/>
    </row>
    <row r="85" spans="1:26" ht="15">
      <c r="A85" s="134"/>
      <c r="B85" s="134" t="s">
        <v>69</v>
      </c>
      <c r="C85" s="213" t="s">
        <v>13</v>
      </c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</row>
    <row r="86" spans="1:26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125</v>
      </c>
      <c r="W86" s="182" t="s">
        <v>126</v>
      </c>
      <c r="X86" s="182" t="s">
        <v>127</v>
      </c>
      <c r="Y86" s="182" t="s">
        <v>128</v>
      </c>
      <c r="Z86" s="182" t="s">
        <v>129</v>
      </c>
    </row>
    <row r="87" spans="1:26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spans="1:26">
      <c r="A88" s="207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-0.939218</v>
      </c>
      <c r="S88" s="173">
        <v>22.073955999999999</v>
      </c>
      <c r="T88" s="173">
        <v>26.418958</v>
      </c>
      <c r="U88" s="173">
        <v>1.554179</v>
      </c>
      <c r="V88" s="173">
        <v>-0.75178999999999996</v>
      </c>
      <c r="W88" s="173">
        <v>-0.70974400000000004</v>
      </c>
      <c r="X88" s="173">
        <v>-0.68802799999999997</v>
      </c>
      <c r="Y88" s="173">
        <v>-0.72391899999999998</v>
      </c>
      <c r="Z88" s="173">
        <v>-0.80044000000000004</v>
      </c>
    </row>
    <row r="89" spans="1:26">
      <c r="A89" s="208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6.2655310000000002</v>
      </c>
      <c r="O89" s="173">
        <v>5.2892989999999998</v>
      </c>
      <c r="P89" s="173">
        <v>4.8235140000000003</v>
      </c>
      <c r="Q89" s="173">
        <v>5.4357850000000001</v>
      </c>
      <c r="R89" s="173">
        <v>18.212437000000001</v>
      </c>
      <c r="S89" s="173">
        <v>11.891016</v>
      </c>
      <c r="T89" s="173">
        <v>17.869899</v>
      </c>
      <c r="U89" s="173">
        <v>51.149709999999999</v>
      </c>
      <c r="V89" s="173">
        <v>62.806652999999997</v>
      </c>
      <c r="W89" s="173">
        <v>36.525360999999997</v>
      </c>
      <c r="X89" s="173">
        <v>24.545518999999999</v>
      </c>
      <c r="Y89" s="173">
        <v>7.2455550000000004</v>
      </c>
      <c r="Z89" s="173">
        <v>7.4261010000000001</v>
      </c>
    </row>
    <row r="90" spans="1:26">
      <c r="A90" s="208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29.498771000000001</v>
      </c>
      <c r="S90" s="173">
        <v>29.400922999999999</v>
      </c>
      <c r="T90" s="173">
        <v>43.333288000000003</v>
      </c>
      <c r="U90" s="173">
        <v>52.282953999999997</v>
      </c>
      <c r="V90" s="173">
        <v>57.566750999999996</v>
      </c>
      <c r="W90" s="173">
        <v>36.281736000000002</v>
      </c>
      <c r="X90" s="173">
        <v>40.584831000000001</v>
      </c>
      <c r="Y90" s="173">
        <v>21.930332</v>
      </c>
      <c r="Z90" s="173">
        <v>25.142253</v>
      </c>
    </row>
    <row r="91" spans="1:26">
      <c r="A91" s="208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205.68247400000001</v>
      </c>
      <c r="S91" s="173">
        <v>206.763338</v>
      </c>
      <c r="T91" s="173">
        <v>212.499032</v>
      </c>
      <c r="U91" s="173">
        <v>272.94692199999997</v>
      </c>
      <c r="V91" s="173">
        <v>333.50170400000002</v>
      </c>
      <c r="W91" s="173">
        <v>245.22935200000001</v>
      </c>
      <c r="X91" s="173">
        <v>232.50510600000001</v>
      </c>
      <c r="Y91" s="173">
        <v>227.14512999999999</v>
      </c>
      <c r="Z91" s="173">
        <v>286.78495500000002</v>
      </c>
    </row>
    <row r="92" spans="1:26">
      <c r="A92" s="208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 s="173">
        <v>0</v>
      </c>
      <c r="V92" s="173">
        <v>0</v>
      </c>
      <c r="W92" s="173">
        <v>0</v>
      </c>
      <c r="X92" s="173">
        <v>0</v>
      </c>
      <c r="Y92" s="173">
        <v>0</v>
      </c>
      <c r="Z92" s="173">
        <v>0</v>
      </c>
    </row>
    <row r="93" spans="1:26">
      <c r="A93" s="208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 s="173">
        <v>0</v>
      </c>
      <c r="U93" s="173">
        <v>0</v>
      </c>
      <c r="V93" s="173">
        <v>0</v>
      </c>
      <c r="W93" s="173">
        <v>0</v>
      </c>
      <c r="X93" s="173">
        <v>0</v>
      </c>
      <c r="Y93" s="173">
        <v>0</v>
      </c>
      <c r="Z93" s="173">
        <v>0</v>
      </c>
    </row>
    <row r="94" spans="1:26">
      <c r="A94" s="208"/>
      <c r="B94" s="133" t="s">
        <v>4</v>
      </c>
      <c r="C94" s="173">
        <v>18.539918</v>
      </c>
      <c r="D94" s="173">
        <v>22.493357</v>
      </c>
      <c r="E94" s="173">
        <v>35.809480999999998</v>
      </c>
      <c r="F94" s="173">
        <v>38.89629</v>
      </c>
      <c r="G94" s="173">
        <v>34.459223999999999</v>
      </c>
      <c r="H94" s="173">
        <v>37.285699000000001</v>
      </c>
      <c r="I94" s="173">
        <v>41.537353000000003</v>
      </c>
      <c r="J94" s="173">
        <v>44.656185000000001</v>
      </c>
      <c r="K94" s="173">
        <v>34.979346999999997</v>
      </c>
      <c r="L94" s="173">
        <v>33.267043999999999</v>
      </c>
      <c r="M94" s="173">
        <v>25.444734</v>
      </c>
      <c r="N94" s="173">
        <v>23.146239000000001</v>
      </c>
      <c r="O94" s="173">
        <v>24.208549000000001</v>
      </c>
      <c r="P94" s="173">
        <v>30.786093000000001</v>
      </c>
      <c r="Q94" s="173">
        <v>45.320208999999998</v>
      </c>
      <c r="R94" s="173">
        <v>44.586635000000001</v>
      </c>
      <c r="S94" s="173">
        <v>58.342002999999998</v>
      </c>
      <c r="T94" s="173">
        <v>53.291172000000003</v>
      </c>
      <c r="U94" s="173">
        <v>60.161617</v>
      </c>
      <c r="V94" s="173">
        <v>55.457568000000002</v>
      </c>
      <c r="W94" s="173">
        <v>43.998761999999999</v>
      </c>
      <c r="X94" s="173">
        <v>38.871260999999997</v>
      </c>
      <c r="Y94" s="173">
        <v>26.945288999999999</v>
      </c>
      <c r="Z94" s="173">
        <v>24.970147000000001</v>
      </c>
    </row>
    <row r="95" spans="1:26">
      <c r="A95" s="208"/>
      <c r="B95" s="133" t="s">
        <v>22</v>
      </c>
      <c r="C95" s="173">
        <v>0.103349</v>
      </c>
      <c r="D95" s="173">
        <v>0.15284900000000001</v>
      </c>
      <c r="E95" s="173">
        <v>0.171352</v>
      </c>
      <c r="F95" s="173">
        <v>9.7647999999999999E-2</v>
      </c>
      <c r="G95" s="173">
        <v>0.14440500000000001</v>
      </c>
      <c r="H95" s="173">
        <v>0.140066</v>
      </c>
      <c r="I95" s="173">
        <v>0.102288</v>
      </c>
      <c r="J95" s="173">
        <v>9.2054999999999998E-2</v>
      </c>
      <c r="K95" s="173">
        <v>0.14128099999999999</v>
      </c>
      <c r="L95" s="173">
        <v>0.14801500000000001</v>
      </c>
      <c r="M95" s="173">
        <v>0.14354</v>
      </c>
      <c r="N95" s="173">
        <v>0.12625700000000001</v>
      </c>
      <c r="O95" s="173">
        <v>0.10423</v>
      </c>
      <c r="P95" s="173">
        <v>3.9530000000000003E-2</v>
      </c>
      <c r="Q95" s="173">
        <v>4.0002000000000003E-2</v>
      </c>
      <c r="R95" s="173">
        <v>1.5544000000000001E-2</v>
      </c>
      <c r="S95" s="173">
        <v>4.1384999999999998E-2</v>
      </c>
      <c r="T95" s="173">
        <v>7.8099000000000002E-2</v>
      </c>
      <c r="U95" s="173">
        <v>0.18402499999999999</v>
      </c>
      <c r="V95" s="173">
        <v>0.28992600000000002</v>
      </c>
      <c r="W95" s="173">
        <v>0.364813</v>
      </c>
      <c r="X95" s="173">
        <v>0.34994999999999998</v>
      </c>
      <c r="Y95" s="173">
        <v>0.27039800000000003</v>
      </c>
      <c r="Z95" s="173">
        <v>0.23000100000000001</v>
      </c>
    </row>
    <row r="96" spans="1:26">
      <c r="A96" s="208"/>
      <c r="B96" s="133" t="s">
        <v>23</v>
      </c>
      <c r="C96" s="173">
        <v>3.0384120000000001</v>
      </c>
      <c r="D96" s="173">
        <v>2.9847320000000002</v>
      </c>
      <c r="E96" s="173">
        <v>3.5262690000000001</v>
      </c>
      <c r="F96" s="173">
        <v>3.5964710000000002</v>
      </c>
      <c r="G96" s="173">
        <v>3.46306</v>
      </c>
      <c r="H96" s="173">
        <v>3.7329490000000001</v>
      </c>
      <c r="I96" s="173">
        <v>3.1795529999999999</v>
      </c>
      <c r="J96" s="173">
        <v>3.6746310000000002</v>
      </c>
      <c r="K96" s="173">
        <v>2.995241</v>
      </c>
      <c r="L96" s="173">
        <v>1.6210690000000001</v>
      </c>
      <c r="M96" s="173">
        <v>1.996553</v>
      </c>
      <c r="N96" s="173">
        <v>3.1565249999999998</v>
      </c>
      <c r="O96" s="173">
        <v>3.9370180000000001</v>
      </c>
      <c r="P96" s="173">
        <v>3.7397490000000002</v>
      </c>
      <c r="Q96" s="173">
        <v>3.4851179999999999</v>
      </c>
      <c r="R96" s="173">
        <v>1.9095409999999999</v>
      </c>
      <c r="S96" s="173">
        <v>3.5397620000000001</v>
      </c>
      <c r="T96" s="173">
        <v>3.4609559999999999</v>
      </c>
      <c r="U96" s="173">
        <v>3.2774670000000001</v>
      </c>
      <c r="V96" s="173">
        <v>3.1243509999999999</v>
      </c>
      <c r="W96" s="173">
        <v>2.778902</v>
      </c>
      <c r="X96" s="173">
        <v>2.2852030000000001</v>
      </c>
      <c r="Y96" s="173">
        <v>1.8790750000000001</v>
      </c>
      <c r="Z96" s="173">
        <v>3.2668629999999999</v>
      </c>
    </row>
    <row r="97" spans="1:26">
      <c r="A97" s="208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12.541195999999999</v>
      </c>
      <c r="J97" s="173">
        <v>14.683114</v>
      </c>
      <c r="K97" s="173">
        <v>9.9340825000000006</v>
      </c>
      <c r="L97" s="173">
        <v>10.861402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11.323399</v>
      </c>
      <c r="S97" s="173">
        <v>12.2750895</v>
      </c>
      <c r="T97" s="173">
        <v>16.584269500000001</v>
      </c>
      <c r="U97" s="173">
        <v>15.726691000000001</v>
      </c>
      <c r="V97" s="173">
        <v>15.578734000000001</v>
      </c>
      <c r="W97" s="173">
        <v>14.1961285</v>
      </c>
      <c r="X97" s="173">
        <v>9.2427220000000005</v>
      </c>
      <c r="Y97" s="173">
        <v>9.5122354999999992</v>
      </c>
      <c r="Z97" s="173">
        <v>12.261645</v>
      </c>
    </row>
    <row r="98" spans="1:26">
      <c r="A98" s="208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12.541195999999999</v>
      </c>
      <c r="J98" s="173">
        <v>14.683114</v>
      </c>
      <c r="K98" s="173">
        <v>9.9340825000000006</v>
      </c>
      <c r="L98" s="173">
        <v>10.861402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11.323399</v>
      </c>
      <c r="S98" s="173">
        <v>12.2750895</v>
      </c>
      <c r="T98" s="173">
        <v>16.584269500000001</v>
      </c>
      <c r="U98" s="173">
        <v>15.726691000000001</v>
      </c>
      <c r="V98" s="173">
        <v>15.578734000000001</v>
      </c>
      <c r="W98" s="173">
        <v>14.1961285</v>
      </c>
      <c r="X98" s="173">
        <v>9.2427220000000005</v>
      </c>
      <c r="Y98" s="173">
        <v>9.5122354999999992</v>
      </c>
      <c r="Z98" s="173">
        <v>12.261645</v>
      </c>
    </row>
    <row r="99" spans="1:26">
      <c r="A99" s="208"/>
      <c r="B99" s="137" t="s">
        <v>2</v>
      </c>
      <c r="C99" s="174">
        <v>326.63051000000002</v>
      </c>
      <c r="D99" s="174">
        <v>342.61162200000001</v>
      </c>
      <c r="E99" s="174">
        <v>332.49950799999999</v>
      </c>
      <c r="F99" s="174">
        <v>307.73898600000001</v>
      </c>
      <c r="G99" s="174">
        <v>341.341116</v>
      </c>
      <c r="H99" s="174">
        <v>422.34463899999997</v>
      </c>
      <c r="I99" s="174">
        <v>565.983338</v>
      </c>
      <c r="J99" s="174">
        <v>529.62697700000001</v>
      </c>
      <c r="K99" s="174">
        <v>435.53787999999997</v>
      </c>
      <c r="L99" s="174">
        <v>364.30883799999998</v>
      </c>
      <c r="M99" s="174">
        <v>302.76486</v>
      </c>
      <c r="N99" s="174">
        <v>306.50178499999998</v>
      </c>
      <c r="O99" s="174">
        <v>322.97768200000002</v>
      </c>
      <c r="P99" s="174">
        <v>292.23284200000001</v>
      </c>
      <c r="Q99" s="174">
        <v>317.716701</v>
      </c>
      <c r="R99" s="174">
        <v>321.61298199999999</v>
      </c>
      <c r="S99" s="174">
        <v>356.60256199999998</v>
      </c>
      <c r="T99" s="174">
        <v>390.11994299999998</v>
      </c>
      <c r="U99" s="174">
        <v>473.01025600000003</v>
      </c>
      <c r="V99" s="174">
        <v>543.15263100000004</v>
      </c>
      <c r="W99" s="174">
        <v>392.86143900000002</v>
      </c>
      <c r="X99" s="174">
        <v>356.93928599999998</v>
      </c>
      <c r="Y99" s="174">
        <v>303.71633100000003</v>
      </c>
      <c r="Z99" s="174">
        <v>371.54316999999998</v>
      </c>
    </row>
    <row r="100" spans="1:26">
      <c r="A100" s="208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70.735690000000005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109.36235000000001</v>
      </c>
      <c r="S100" s="173">
        <v>117.764884</v>
      </c>
      <c r="T100" s="173">
        <v>145.36358899999999</v>
      </c>
      <c r="U100" s="173">
        <v>208.454387</v>
      </c>
      <c r="V100" s="173">
        <v>187.956546</v>
      </c>
      <c r="W100" s="173">
        <v>162.00915900000001</v>
      </c>
      <c r="X100" s="173">
        <v>144.54443599999999</v>
      </c>
      <c r="Y100" s="173">
        <v>78.195680999999993</v>
      </c>
      <c r="Z100" s="173">
        <v>77.984769</v>
      </c>
    </row>
    <row r="101" spans="1:26">
      <c r="A101" s="209"/>
      <c r="B101" s="137" t="s">
        <v>79</v>
      </c>
      <c r="C101" s="174">
        <v>450.58064100000001</v>
      </c>
      <c r="D101" s="174">
        <v>432.34588400000001</v>
      </c>
      <c r="E101" s="174">
        <v>414.69381600000003</v>
      </c>
      <c r="F101" s="174">
        <v>405.7724</v>
      </c>
      <c r="G101" s="174">
        <v>460.10353199999997</v>
      </c>
      <c r="H101" s="174">
        <v>546.69477300000005</v>
      </c>
      <c r="I101" s="174">
        <v>734.53116199999999</v>
      </c>
      <c r="J101" s="174">
        <v>704.63626799999997</v>
      </c>
      <c r="K101" s="174">
        <v>566.39258199999995</v>
      </c>
      <c r="L101" s="174">
        <v>495.756328</v>
      </c>
      <c r="M101" s="174">
        <v>373.50054999999998</v>
      </c>
      <c r="N101" s="174">
        <v>418.94205299999999</v>
      </c>
      <c r="O101" s="174">
        <v>445.737956</v>
      </c>
      <c r="P101" s="174">
        <v>406.976924</v>
      </c>
      <c r="Q101" s="174">
        <v>428.38442800000001</v>
      </c>
      <c r="R101" s="174">
        <v>430.97533199999998</v>
      </c>
      <c r="S101" s="174">
        <v>474.36744599999997</v>
      </c>
      <c r="T101" s="174">
        <v>535.48353199999997</v>
      </c>
      <c r="U101" s="174">
        <v>681.46464300000002</v>
      </c>
      <c r="V101" s="174">
        <v>731.10917700000005</v>
      </c>
      <c r="W101" s="174">
        <v>554.87059799999997</v>
      </c>
      <c r="X101" s="174">
        <v>501.483722</v>
      </c>
      <c r="Y101" s="174">
        <v>381.912012</v>
      </c>
      <c r="Z101" s="174">
        <v>449.527939</v>
      </c>
    </row>
    <row r="102" spans="1:26">
      <c r="A102" s="212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0.29050999999999999</v>
      </c>
      <c r="F102" s="173">
        <v>0.27580700000000002</v>
      </c>
      <c r="G102" s="173">
        <v>0.29760599999999998</v>
      </c>
      <c r="H102" s="173">
        <v>0.28353699999999998</v>
      </c>
      <c r="I102" s="173">
        <v>0.30186600000000002</v>
      </c>
      <c r="J102" s="173">
        <v>0.289545</v>
      </c>
      <c r="K102" s="173">
        <v>0.28924100000000003</v>
      </c>
      <c r="L102" s="173">
        <v>0.30332900000000002</v>
      </c>
      <c r="M102" s="173">
        <v>0.28045300000000001</v>
      </c>
      <c r="N102" s="173">
        <v>0.30560300000000001</v>
      </c>
      <c r="O102" s="173">
        <v>0.29624200000000001</v>
      </c>
      <c r="P102" s="173">
        <v>0.28508299999999998</v>
      </c>
      <c r="Q102" s="173">
        <v>0.272924</v>
      </c>
      <c r="R102" s="173">
        <v>0.258407</v>
      </c>
      <c r="S102" s="173">
        <v>0.28213199999999999</v>
      </c>
      <c r="T102" s="173">
        <v>0.27541500000000002</v>
      </c>
      <c r="U102" s="173">
        <v>0.290603</v>
      </c>
      <c r="V102" s="173">
        <v>0.28181699999999998</v>
      </c>
      <c r="W102" s="173">
        <v>0.27621200000000001</v>
      </c>
      <c r="X102" s="173">
        <v>0.29845300000000002</v>
      </c>
      <c r="Y102" s="173">
        <v>0.28431800000000002</v>
      </c>
      <c r="Z102" s="173">
        <v>0.28783500000000001</v>
      </c>
    </row>
    <row r="103" spans="1:26">
      <c r="A103" s="208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152.672697</v>
      </c>
      <c r="H103" s="173">
        <v>159.427877</v>
      </c>
      <c r="I103" s="173">
        <v>147.371253</v>
      </c>
      <c r="J103" s="173">
        <v>157.97160400000001</v>
      </c>
      <c r="K103" s="173">
        <v>154.76962499999999</v>
      </c>
      <c r="L103" s="173">
        <v>179.45008000000001</v>
      </c>
      <c r="M103" s="173">
        <v>168.21234899999999</v>
      </c>
      <c r="N103" s="173">
        <v>171.03571600000001</v>
      </c>
      <c r="O103" s="173">
        <v>166.77709300000001</v>
      </c>
      <c r="P103" s="173">
        <v>147.58979299999999</v>
      </c>
      <c r="Q103" s="173">
        <v>156.05254400000001</v>
      </c>
      <c r="R103" s="173">
        <v>143.99597600000001</v>
      </c>
      <c r="S103" s="173">
        <v>142.89773500000001</v>
      </c>
      <c r="T103" s="173">
        <v>147.24789200000001</v>
      </c>
      <c r="U103" s="173">
        <v>156.974729</v>
      </c>
      <c r="V103" s="173">
        <v>149.168069</v>
      </c>
      <c r="W103" s="173">
        <v>154.83455499999999</v>
      </c>
      <c r="X103" s="173">
        <v>157.66810000000001</v>
      </c>
      <c r="Y103" s="173">
        <v>159.29623000000001</v>
      </c>
      <c r="Z103" s="173">
        <v>155.10421700000001</v>
      </c>
    </row>
    <row r="104" spans="1:26">
      <c r="A104" s="208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15.018001</v>
      </c>
      <c r="S104" s="173">
        <v>13.174446</v>
      </c>
      <c r="T104" s="173">
        <v>26.579124</v>
      </c>
      <c r="U104" s="173">
        <v>16.279032000000001</v>
      </c>
      <c r="V104" s="173">
        <v>15.569345999999999</v>
      </c>
      <c r="W104" s="173">
        <v>24.246791000000002</v>
      </c>
      <c r="X104" s="173">
        <v>16.089413</v>
      </c>
      <c r="Y104" s="173">
        <v>29.485838000000001</v>
      </c>
      <c r="Z104" s="173">
        <v>20.168593999999999</v>
      </c>
    </row>
    <row r="105" spans="1:26">
      <c r="A105" s="208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98.285223000000002</v>
      </c>
      <c r="S105" s="173">
        <v>106.53814</v>
      </c>
      <c r="T105" s="173">
        <v>79.128829999999994</v>
      </c>
      <c r="U105" s="173">
        <v>105.68064699999999</v>
      </c>
      <c r="V105" s="173">
        <v>101.50272699999999</v>
      </c>
      <c r="W105" s="173">
        <v>73.604264000000001</v>
      </c>
      <c r="X105" s="173">
        <v>85.936983999999995</v>
      </c>
      <c r="Y105" s="173">
        <v>88.402636000000001</v>
      </c>
      <c r="Z105" s="173">
        <v>67.812443999999999</v>
      </c>
    </row>
    <row r="106" spans="1:26">
      <c r="A106" s="208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315.19474500000001</v>
      </c>
      <c r="S106" s="173">
        <v>259.74817300000001</v>
      </c>
      <c r="T106" s="173">
        <v>269.75380799999999</v>
      </c>
      <c r="U106" s="173">
        <v>264.109264</v>
      </c>
      <c r="V106" s="173">
        <v>258.28017799999998</v>
      </c>
      <c r="W106" s="173">
        <v>294.563964</v>
      </c>
      <c r="X106" s="173">
        <v>354.061463</v>
      </c>
      <c r="Y106" s="173">
        <v>391.04191900000001</v>
      </c>
      <c r="Z106" s="173">
        <v>377.43598400000002</v>
      </c>
    </row>
    <row r="107" spans="1:26">
      <c r="A107" s="208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 s="173">
        <v>0</v>
      </c>
      <c r="V107" s="173">
        <v>0</v>
      </c>
      <c r="W107" s="173">
        <v>0</v>
      </c>
      <c r="X107" s="173">
        <v>0</v>
      </c>
      <c r="Y107" s="173">
        <v>0</v>
      </c>
      <c r="Z107" s="173">
        <v>0</v>
      </c>
    </row>
    <row r="108" spans="1:26">
      <c r="A108" s="208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1.2945469999999999</v>
      </c>
      <c r="S108" s="173">
        <v>2.2523740000000001</v>
      </c>
      <c r="T108" s="173">
        <v>2.6292490000000002</v>
      </c>
      <c r="U108" s="173">
        <v>3.5113029999999998</v>
      </c>
      <c r="V108" s="173">
        <v>3.975784</v>
      </c>
      <c r="W108" s="173">
        <v>2.2682389999999999</v>
      </c>
      <c r="X108" s="173">
        <v>1.839432</v>
      </c>
      <c r="Y108" s="173">
        <v>0.25298199999999998</v>
      </c>
      <c r="Z108" s="173">
        <v>1.347515</v>
      </c>
    </row>
    <row r="109" spans="1:26">
      <c r="A109" s="208"/>
      <c r="B109" s="133" t="s">
        <v>5</v>
      </c>
      <c r="C109" s="173">
        <v>132.72816599999999</v>
      </c>
      <c r="D109" s="173">
        <v>42.67051</v>
      </c>
      <c r="E109" s="173">
        <v>131.49951200000001</v>
      </c>
      <c r="F109" s="173">
        <v>103.784149</v>
      </c>
      <c r="G109" s="173">
        <v>131.928437</v>
      </c>
      <c r="H109" s="173">
        <v>64.374502000000007</v>
      </c>
      <c r="I109" s="173">
        <v>209.601507</v>
      </c>
      <c r="J109" s="173">
        <v>178.40540899999999</v>
      </c>
      <c r="K109" s="173">
        <v>103.255752</v>
      </c>
      <c r="L109" s="173">
        <v>57.760657000000002</v>
      </c>
      <c r="M109" s="173">
        <v>100.369928</v>
      </c>
      <c r="N109" s="173">
        <v>71.082879000000005</v>
      </c>
      <c r="O109" s="173">
        <v>53.153264999999998</v>
      </c>
      <c r="P109" s="173">
        <v>108.660585</v>
      </c>
      <c r="Q109" s="173">
        <v>89.285196999999997</v>
      </c>
      <c r="R109" s="173">
        <v>94.672573</v>
      </c>
      <c r="S109" s="173">
        <v>147.02184</v>
      </c>
      <c r="T109" s="173">
        <v>129.86778200000001</v>
      </c>
      <c r="U109" s="173">
        <v>169.43657200000001</v>
      </c>
      <c r="V109" s="173">
        <v>210.63246799999999</v>
      </c>
      <c r="W109" s="173">
        <v>148.53897900000001</v>
      </c>
      <c r="X109" s="173">
        <v>116.739524</v>
      </c>
      <c r="Y109" s="173">
        <v>42.198247000000002</v>
      </c>
      <c r="Z109" s="173">
        <v>98.604759000000001</v>
      </c>
    </row>
    <row r="110" spans="1:26">
      <c r="A110" s="208"/>
      <c r="B110" s="133" t="s">
        <v>4</v>
      </c>
      <c r="C110" s="173">
        <v>22.121485</v>
      </c>
      <c r="D110" s="173">
        <v>20.382895000000001</v>
      </c>
      <c r="E110" s="173">
        <v>32.808866999999999</v>
      </c>
      <c r="F110" s="173">
        <v>30.082971000000001</v>
      </c>
      <c r="G110" s="173">
        <v>30.799336</v>
      </c>
      <c r="H110" s="173">
        <v>30.793143000000001</v>
      </c>
      <c r="I110" s="173">
        <v>35.178874</v>
      </c>
      <c r="J110" s="173">
        <v>33.812891999999998</v>
      </c>
      <c r="K110" s="173">
        <v>31.437576</v>
      </c>
      <c r="L110" s="173">
        <v>30.035509999999999</v>
      </c>
      <c r="M110" s="173">
        <v>25.317008999999999</v>
      </c>
      <c r="N110" s="173">
        <v>23.810552999999999</v>
      </c>
      <c r="O110" s="173">
        <v>24.766017999999999</v>
      </c>
      <c r="P110" s="173">
        <v>26.429468</v>
      </c>
      <c r="Q110" s="173">
        <v>31.966273999999999</v>
      </c>
      <c r="R110" s="173">
        <v>36.070126000000002</v>
      </c>
      <c r="S110" s="173">
        <v>35.821750999999999</v>
      </c>
      <c r="T110" s="173">
        <v>36.232920999999997</v>
      </c>
      <c r="U110" s="173">
        <v>42.799511000000003</v>
      </c>
      <c r="V110" s="173">
        <v>40.863112000000001</v>
      </c>
      <c r="W110" s="173">
        <v>37.483722</v>
      </c>
      <c r="X110" s="173">
        <v>36.283222000000002</v>
      </c>
      <c r="Y110" s="173">
        <v>28.385072999999998</v>
      </c>
      <c r="Z110" s="173">
        <v>27.153786</v>
      </c>
    </row>
    <row r="111" spans="1:26">
      <c r="A111" s="208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0.524733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0.26424700000000001</v>
      </c>
      <c r="S111" s="173">
        <v>0.430983</v>
      </c>
      <c r="T111" s="173">
        <v>0.49796200000000002</v>
      </c>
      <c r="U111" s="173">
        <v>0.62341999999999997</v>
      </c>
      <c r="V111" s="173">
        <v>1.3289139999999999</v>
      </c>
      <c r="W111" s="173">
        <v>1.1101749999999999</v>
      </c>
      <c r="X111" s="173">
        <v>1.1028469999999999</v>
      </c>
      <c r="Y111" s="173">
        <v>1.1775519999999999</v>
      </c>
      <c r="Z111" s="173">
        <v>1.130485</v>
      </c>
    </row>
    <row r="112" spans="1:26">
      <c r="A112" s="208"/>
      <c r="B112" s="137" t="s">
        <v>2</v>
      </c>
      <c r="C112" s="174">
        <v>719.42066</v>
      </c>
      <c r="D112" s="174">
        <v>650.39298299999996</v>
      </c>
      <c r="E112" s="174">
        <v>713.582358</v>
      </c>
      <c r="F112" s="174">
        <v>675.99098200000003</v>
      </c>
      <c r="G112" s="174">
        <v>702.09189000000003</v>
      </c>
      <c r="H112" s="174">
        <v>713.71319300000005</v>
      </c>
      <c r="I112" s="174">
        <v>762.82525099999998</v>
      </c>
      <c r="J112" s="174">
        <v>802.59653400000002</v>
      </c>
      <c r="K112" s="174">
        <v>744.78947700000003</v>
      </c>
      <c r="L112" s="174">
        <v>804.27724599999999</v>
      </c>
      <c r="M112" s="174">
        <v>731.55021499999998</v>
      </c>
      <c r="N112" s="174">
        <v>733.95237899999995</v>
      </c>
      <c r="O112" s="174">
        <v>741.16554399999995</v>
      </c>
      <c r="P112" s="174">
        <v>691.32410200000004</v>
      </c>
      <c r="Q112" s="174">
        <v>724.54059900000004</v>
      </c>
      <c r="R112" s="174">
        <v>705.05384500000002</v>
      </c>
      <c r="S112" s="174">
        <v>708.16757399999995</v>
      </c>
      <c r="T112" s="174">
        <v>692.21298300000001</v>
      </c>
      <c r="U112" s="174">
        <v>759.70508099999995</v>
      </c>
      <c r="V112" s="174">
        <v>781.60241499999995</v>
      </c>
      <c r="W112" s="174">
        <v>736.92690100000004</v>
      </c>
      <c r="X112" s="174">
        <v>770.01943800000004</v>
      </c>
      <c r="Y112" s="174">
        <v>740.52479500000004</v>
      </c>
      <c r="Z112" s="174">
        <v>749.04561899999999</v>
      </c>
    </row>
    <row r="113" spans="1:26">
      <c r="A113" s="209"/>
      <c r="B113" s="137" t="s">
        <v>79</v>
      </c>
      <c r="C113" s="174">
        <v>719.42066</v>
      </c>
      <c r="D113" s="174">
        <v>650.39298299999996</v>
      </c>
      <c r="E113" s="174">
        <v>713.582358</v>
      </c>
      <c r="F113" s="174">
        <v>675.99098200000003</v>
      </c>
      <c r="G113" s="174">
        <v>702.09189000000003</v>
      </c>
      <c r="H113" s="174">
        <v>713.71319300000005</v>
      </c>
      <c r="I113" s="174">
        <v>762.82525099999998</v>
      </c>
      <c r="J113" s="174">
        <v>802.59653400000002</v>
      </c>
      <c r="K113" s="174">
        <v>744.78947700000003</v>
      </c>
      <c r="L113" s="174">
        <v>804.27724599999999</v>
      </c>
      <c r="M113" s="174">
        <v>731.55021499999998</v>
      </c>
      <c r="N113" s="174">
        <v>733.95237899999995</v>
      </c>
      <c r="O113" s="174">
        <v>741.16554399999995</v>
      </c>
      <c r="P113" s="174">
        <v>691.32410200000004</v>
      </c>
      <c r="Q113" s="174">
        <v>724.54059900000004</v>
      </c>
      <c r="R113" s="174">
        <v>705.05384500000002</v>
      </c>
      <c r="S113" s="174">
        <v>708.16757399999995</v>
      </c>
      <c r="T113" s="174">
        <v>692.21298300000001</v>
      </c>
      <c r="U113" s="174">
        <v>759.70508099999995</v>
      </c>
      <c r="V113" s="174">
        <v>781.60241499999995</v>
      </c>
      <c r="W113" s="174">
        <v>736.92690100000004</v>
      </c>
      <c r="X113" s="174">
        <v>770.01943800000004</v>
      </c>
      <c r="Y113" s="174">
        <v>740.52479500000004</v>
      </c>
      <c r="Z113" s="174">
        <v>749.04561899999999</v>
      </c>
    </row>
    <row r="114" spans="1:26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5" t="s">
        <v>73</v>
      </c>
      <c r="C117" s="111" t="str">
        <f>TEXT(EDATE(D117,-1),"mmmm aaaa")</f>
        <v>diciembre 2023</v>
      </c>
      <c r="D117" s="111" t="str">
        <f t="shared" ref="D117:M117" si="6">TEXT(EDATE(E117,-1),"mmmm aaaa")</f>
        <v>enero 2024</v>
      </c>
      <c r="E117" s="111" t="str">
        <f t="shared" si="6"/>
        <v>febrero 2024</v>
      </c>
      <c r="F117" s="111" t="str">
        <f t="shared" si="6"/>
        <v>marzo 2024</v>
      </c>
      <c r="G117" s="111" t="str">
        <f t="shared" si="6"/>
        <v>abril 2024</v>
      </c>
      <c r="H117" s="111" t="str">
        <f t="shared" si="6"/>
        <v>mayo 2024</v>
      </c>
      <c r="I117" s="111" t="str">
        <f t="shared" si="6"/>
        <v>junio 2024</v>
      </c>
      <c r="J117" s="111" t="str">
        <f t="shared" si="6"/>
        <v>julio 2024</v>
      </c>
      <c r="K117" s="111" t="str">
        <f t="shared" si="6"/>
        <v>agosto 2024</v>
      </c>
      <c r="L117" s="111" t="str">
        <f t="shared" si="6"/>
        <v>septiembre 2024</v>
      </c>
      <c r="M117" s="111" t="str">
        <f t="shared" si="6"/>
        <v>octubre 2024</v>
      </c>
      <c r="N117" s="111" t="str">
        <f>TEXT(EDATE(O117,-1),"mmmm aaaa")</f>
        <v>noviembre 2024</v>
      </c>
      <c r="O117" s="112" t="str">
        <f>A2</f>
        <v>Diciembre 2024</v>
      </c>
    </row>
    <row r="118" spans="1:26">
      <c r="B118" s="206"/>
      <c r="C118" s="121" t="str">
        <f>TEXT(EDATE($A$2,-12),"mmm")&amp;".-"&amp;TEXT(EDATE($A$2,-12),"aa")</f>
        <v>dic.-23</v>
      </c>
      <c r="D118" s="121" t="str">
        <f>TEXT(EDATE($A$2,-11),"mmm")&amp;".-"&amp;TEXT(EDATE($A$2,-11),"aa")</f>
        <v>ene.-24</v>
      </c>
      <c r="E118" s="121" t="str">
        <f>TEXT(EDATE($A$2,-10),"mmm")&amp;".-"&amp;TEXT(EDATE($A$2,-10),"aa")</f>
        <v>feb.-24</v>
      </c>
      <c r="F118" s="121" t="str">
        <f>TEXT(EDATE($A$2,-9),"mmm")&amp;".-"&amp;TEXT(EDATE($A$2,-9),"aa")</f>
        <v>mar.-24</v>
      </c>
      <c r="G118" s="121" t="str">
        <f>TEXT(EDATE($A$2,-8),"mmm")&amp;".-"&amp;TEXT(EDATE($A$2,-8),"aa")</f>
        <v>abr.-24</v>
      </c>
      <c r="H118" s="121" t="str">
        <f>TEXT(EDATE($A$2,-7),"mmm")&amp;".-"&amp;TEXT(EDATE($A$2,-7),"aa")</f>
        <v>may.-24</v>
      </c>
      <c r="I118" s="121" t="str">
        <f>TEXT(EDATE($A$2,-6),"mmm")&amp;".-"&amp;TEXT(EDATE($A$2,-6),"aa")</f>
        <v>jun.-24</v>
      </c>
      <c r="J118" s="121" t="str">
        <f>TEXT(EDATE($A$2,-5),"mmm")&amp;".-"&amp;TEXT(EDATE($A$2,-5),"aa")</f>
        <v>jul.-24</v>
      </c>
      <c r="K118" s="121" t="str">
        <f>TEXT(EDATE($A$2,-4),"mmm")&amp;".-"&amp;TEXT(EDATE($A$2,-4),"aa")</f>
        <v>ago.-24</v>
      </c>
      <c r="L118" s="121" t="str">
        <f>TEXT(EDATE($A$2,-3),"mmm")&amp;".-"&amp;TEXT(EDATE($A$2,-3),"aa")</f>
        <v>sep.-24</v>
      </c>
      <c r="M118" s="121" t="str">
        <f>TEXT(EDATE($A$2,-2),"mmm")&amp;".-"&amp;TEXT(EDATE($A$2,-2),"aa")</f>
        <v>oct.-24</v>
      </c>
      <c r="N118" s="121" t="str">
        <f>TEXT(EDATE($A$2,-1),"mmm")&amp;".-"&amp;TEXT(EDATE($A$2,-1),"aa")</f>
        <v>nov.-24</v>
      </c>
      <c r="O118" s="143" t="str">
        <f>TEXT($A$2,"mmm")&amp;".-"&amp;TEXT($A$2,"aa")</f>
        <v>dic.-24</v>
      </c>
    </row>
    <row r="119" spans="1:26">
      <c r="A119" s="202" t="s">
        <v>76</v>
      </c>
      <c r="B119" s="122" t="s">
        <v>11</v>
      </c>
      <c r="C119" s="123">
        <f>HLOOKUP(C$117,$86:$101,3,FALSE)</f>
        <v>-0.69586499999999996</v>
      </c>
      <c r="D119" s="123">
        <f t="shared" ref="D119:N119" si="7">HLOOKUP(D$117,$86:$101,3,FALSE)</f>
        <v>-0.70605399999999996</v>
      </c>
      <c r="E119" s="123">
        <f t="shared" si="7"/>
        <v>-0.66276199999999996</v>
      </c>
      <c r="F119" s="123">
        <f t="shared" si="7"/>
        <v>-0.710283</v>
      </c>
      <c r="G119" s="123">
        <f t="shared" si="7"/>
        <v>-0.939218</v>
      </c>
      <c r="H119" s="123">
        <f t="shared" si="7"/>
        <v>22.073955999999999</v>
      </c>
      <c r="I119" s="123">
        <f t="shared" si="7"/>
        <v>26.418958</v>
      </c>
      <c r="J119" s="123">
        <f t="shared" si="7"/>
        <v>1.554179</v>
      </c>
      <c r="K119" s="123">
        <f t="shared" si="7"/>
        <v>-0.75178999999999996</v>
      </c>
      <c r="L119" s="123">
        <f t="shared" si="7"/>
        <v>-0.70974400000000004</v>
      </c>
      <c r="M119" s="123">
        <f t="shared" si="7"/>
        <v>-0.68802799999999997</v>
      </c>
      <c r="N119" s="123">
        <f t="shared" si="7"/>
        <v>-0.72391899999999998</v>
      </c>
      <c r="O119" s="124">
        <f>HLOOKUP(O$117,$86:$101,3,FALSE)</f>
        <v>-0.80044000000000004</v>
      </c>
    </row>
    <row r="120" spans="1:26">
      <c r="A120" s="203"/>
      <c r="B120" s="105" t="s">
        <v>10</v>
      </c>
      <c r="C120" s="107">
        <f>HLOOKUP(C$117,$86:$101,4,FALSE)</f>
        <v>6.2655310000000002</v>
      </c>
      <c r="D120" s="107">
        <f t="shared" ref="D120:O120" si="8">HLOOKUP(D$117,$86:$101,4,FALSE)</f>
        <v>5.2892989999999998</v>
      </c>
      <c r="E120" s="107">
        <f t="shared" si="8"/>
        <v>4.8235140000000003</v>
      </c>
      <c r="F120" s="107">
        <f t="shared" si="8"/>
        <v>5.4357850000000001</v>
      </c>
      <c r="G120" s="107">
        <f t="shared" si="8"/>
        <v>18.212437000000001</v>
      </c>
      <c r="H120" s="107">
        <f t="shared" si="8"/>
        <v>11.891016</v>
      </c>
      <c r="I120" s="107">
        <f t="shared" si="8"/>
        <v>17.869899</v>
      </c>
      <c r="J120" s="107">
        <f t="shared" si="8"/>
        <v>51.149709999999999</v>
      </c>
      <c r="K120" s="107">
        <f t="shared" si="8"/>
        <v>62.806652999999997</v>
      </c>
      <c r="L120" s="107">
        <f t="shared" si="8"/>
        <v>36.525360999999997</v>
      </c>
      <c r="M120" s="107">
        <f t="shared" si="8"/>
        <v>24.545518999999999</v>
      </c>
      <c r="N120" s="107">
        <f t="shared" si="8"/>
        <v>7.2455550000000004</v>
      </c>
      <c r="O120" s="124">
        <f t="shared" si="8"/>
        <v>7.4261010000000001</v>
      </c>
    </row>
    <row r="121" spans="1:26">
      <c r="A121" s="203"/>
      <c r="B121" s="105" t="s">
        <v>9</v>
      </c>
      <c r="C121" s="107">
        <f>HLOOKUP(C$117,$86:$101,5,FALSE)</f>
        <v>22.604486999999999</v>
      </c>
      <c r="D121" s="107">
        <f t="shared" ref="D121:O121" si="9">HLOOKUP(D$117,$86:$101,5,FALSE)</f>
        <v>25.154277</v>
      </c>
      <c r="E121" s="107">
        <f t="shared" si="9"/>
        <v>23.798262999999999</v>
      </c>
      <c r="F121" s="107">
        <f t="shared" si="9"/>
        <v>24.938551</v>
      </c>
      <c r="G121" s="107">
        <f t="shared" si="9"/>
        <v>29.498771000000001</v>
      </c>
      <c r="H121" s="107">
        <f t="shared" si="9"/>
        <v>29.400922999999999</v>
      </c>
      <c r="I121" s="107">
        <f t="shared" si="9"/>
        <v>43.333288000000003</v>
      </c>
      <c r="J121" s="107">
        <f t="shared" si="9"/>
        <v>52.282953999999997</v>
      </c>
      <c r="K121" s="107">
        <f t="shared" si="9"/>
        <v>57.566750999999996</v>
      </c>
      <c r="L121" s="107">
        <f t="shared" si="9"/>
        <v>36.281736000000002</v>
      </c>
      <c r="M121" s="107">
        <f t="shared" si="9"/>
        <v>40.584831000000001</v>
      </c>
      <c r="N121" s="107">
        <f t="shared" si="9"/>
        <v>21.930332</v>
      </c>
      <c r="O121" s="124">
        <f t="shared" si="9"/>
        <v>25.142253</v>
      </c>
    </row>
    <row r="122" spans="1:26" ht="14.25">
      <c r="A122" s="203"/>
      <c r="B122" s="105" t="s">
        <v>74</v>
      </c>
      <c r="C122" s="107">
        <f>HLOOKUP(C$117,$86:$101,6,FALSE)</f>
        <v>233.91494</v>
      </c>
      <c r="D122" s="107">
        <f t="shared" ref="D122:O122" si="10">HLOOKUP(D$117,$86:$101,6,FALSE)</f>
        <v>244.02029300000001</v>
      </c>
      <c r="E122" s="107">
        <f t="shared" si="10"/>
        <v>218.49136100000001</v>
      </c>
      <c r="F122" s="107">
        <f t="shared" si="10"/>
        <v>213.548517</v>
      </c>
      <c r="G122" s="107">
        <f t="shared" si="10"/>
        <v>205.68247400000001</v>
      </c>
      <c r="H122" s="107">
        <f t="shared" si="10"/>
        <v>206.763338</v>
      </c>
      <c r="I122" s="107">
        <f t="shared" si="10"/>
        <v>212.499032</v>
      </c>
      <c r="J122" s="107">
        <f t="shared" si="10"/>
        <v>272.94692199999997</v>
      </c>
      <c r="K122" s="107">
        <f t="shared" si="10"/>
        <v>333.50170400000002</v>
      </c>
      <c r="L122" s="107">
        <f t="shared" si="10"/>
        <v>245.22935200000001</v>
      </c>
      <c r="M122" s="107">
        <f t="shared" si="10"/>
        <v>232.50510600000001</v>
      </c>
      <c r="N122" s="107">
        <f t="shared" si="10"/>
        <v>227.14512999999999</v>
      </c>
      <c r="O122" s="124">
        <f t="shared" si="10"/>
        <v>286.78495500000002</v>
      </c>
    </row>
    <row r="123" spans="1:26">
      <c r="A123" s="203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3"/>
      <c r="B124" s="105" t="s">
        <v>5</v>
      </c>
      <c r="C124" s="107">
        <f>HLOOKUP(C$117,$86:$102,8,FALSE)</f>
        <v>0</v>
      </c>
      <c r="D124" s="107">
        <f t="shared" ref="D124:O124" si="12">HLOOKUP(D$117,$86:$102,8,FALSE)</f>
        <v>0</v>
      </c>
      <c r="E124" s="107">
        <f t="shared" si="12"/>
        <v>0</v>
      </c>
      <c r="F124" s="107">
        <f t="shared" si="12"/>
        <v>0</v>
      </c>
      <c r="G124" s="107">
        <f t="shared" si="12"/>
        <v>0</v>
      </c>
      <c r="H124" s="107">
        <f t="shared" si="12"/>
        <v>0</v>
      </c>
      <c r="I124" s="107">
        <f t="shared" si="12"/>
        <v>0</v>
      </c>
      <c r="J124" s="107">
        <f t="shared" si="12"/>
        <v>0</v>
      </c>
      <c r="K124" s="107">
        <f t="shared" si="12"/>
        <v>0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3"/>
      <c r="B125" s="105" t="s">
        <v>4</v>
      </c>
      <c r="C125" s="107">
        <f>HLOOKUP(C$117,$86:$102,9,FALSE)</f>
        <v>23.146239000000001</v>
      </c>
      <c r="D125" s="107">
        <f t="shared" ref="D125:O125" si="13">HLOOKUP(D$117,$86:$102,9,FALSE)</f>
        <v>24.208549000000001</v>
      </c>
      <c r="E125" s="107">
        <f t="shared" si="13"/>
        <v>30.786093000000001</v>
      </c>
      <c r="F125" s="107">
        <f t="shared" si="13"/>
        <v>45.320208999999998</v>
      </c>
      <c r="G125" s="107">
        <f t="shared" si="13"/>
        <v>44.586635000000001</v>
      </c>
      <c r="H125" s="107">
        <f t="shared" si="13"/>
        <v>58.342002999999998</v>
      </c>
      <c r="I125" s="107">
        <f t="shared" si="13"/>
        <v>53.291172000000003</v>
      </c>
      <c r="J125" s="107">
        <f t="shared" si="13"/>
        <v>60.161617</v>
      </c>
      <c r="K125" s="107">
        <f t="shared" si="13"/>
        <v>55.457568000000002</v>
      </c>
      <c r="L125" s="107">
        <f t="shared" si="13"/>
        <v>43.998761999999999</v>
      </c>
      <c r="M125" s="107">
        <f t="shared" si="13"/>
        <v>38.871260999999997</v>
      </c>
      <c r="N125" s="107">
        <f t="shared" si="13"/>
        <v>26.945288999999999</v>
      </c>
      <c r="O125" s="124">
        <f t="shared" si="13"/>
        <v>24.970147000000001</v>
      </c>
    </row>
    <row r="126" spans="1:26">
      <c r="A126" s="203"/>
      <c r="B126" s="113" t="s">
        <v>22</v>
      </c>
      <c r="C126" s="107">
        <f>HLOOKUP(C$117,$86:$102,10,FALSE)</f>
        <v>0.12625700000000001</v>
      </c>
      <c r="D126" s="107">
        <f t="shared" ref="D126:O126" si="14">HLOOKUP(D$117,$86:$102,10,FALSE)</f>
        <v>0.10423</v>
      </c>
      <c r="E126" s="107">
        <f t="shared" si="14"/>
        <v>3.9530000000000003E-2</v>
      </c>
      <c r="F126" s="107">
        <f t="shared" si="14"/>
        <v>4.0002000000000003E-2</v>
      </c>
      <c r="G126" s="107">
        <f t="shared" si="14"/>
        <v>1.5544000000000001E-2</v>
      </c>
      <c r="H126" s="107">
        <f t="shared" si="14"/>
        <v>4.1384999999999998E-2</v>
      </c>
      <c r="I126" s="107">
        <f t="shared" si="14"/>
        <v>7.8099000000000002E-2</v>
      </c>
      <c r="J126" s="107">
        <f t="shared" si="14"/>
        <v>0.18402499999999999</v>
      </c>
      <c r="K126" s="107">
        <f t="shared" si="14"/>
        <v>0.28992600000000002</v>
      </c>
      <c r="L126" s="107">
        <f t="shared" si="14"/>
        <v>0.364813</v>
      </c>
      <c r="M126" s="107">
        <f t="shared" si="14"/>
        <v>0.34994999999999998</v>
      </c>
      <c r="N126" s="107">
        <f t="shared" si="14"/>
        <v>0.27039800000000003</v>
      </c>
      <c r="O126" s="124">
        <f t="shared" si="14"/>
        <v>0.23000100000000001</v>
      </c>
    </row>
    <row r="127" spans="1:26">
      <c r="A127" s="203"/>
      <c r="B127" s="113" t="s">
        <v>23</v>
      </c>
      <c r="C127" s="107">
        <f>HLOOKUP(C$117,$86:$102,11,FALSE)</f>
        <v>3.1565249999999998</v>
      </c>
      <c r="D127" s="107">
        <f t="shared" ref="D127:O127" si="15">HLOOKUP(D$117,$86:$102,11,FALSE)</f>
        <v>3.9370180000000001</v>
      </c>
      <c r="E127" s="107">
        <f t="shared" si="15"/>
        <v>3.7397490000000002</v>
      </c>
      <c r="F127" s="107">
        <f t="shared" si="15"/>
        <v>3.4851179999999999</v>
      </c>
      <c r="G127" s="107">
        <f t="shared" si="15"/>
        <v>1.9095409999999999</v>
      </c>
      <c r="H127" s="107">
        <f t="shared" si="15"/>
        <v>3.5397620000000001</v>
      </c>
      <c r="I127" s="107">
        <f t="shared" si="15"/>
        <v>3.4609559999999999</v>
      </c>
      <c r="J127" s="107">
        <f t="shared" si="15"/>
        <v>3.2774670000000001</v>
      </c>
      <c r="K127" s="107">
        <f t="shared" si="15"/>
        <v>3.1243509999999999</v>
      </c>
      <c r="L127" s="107">
        <f t="shared" si="15"/>
        <v>2.778902</v>
      </c>
      <c r="M127" s="107">
        <f t="shared" si="15"/>
        <v>2.2852030000000001</v>
      </c>
      <c r="N127" s="107">
        <f t="shared" si="15"/>
        <v>1.8790750000000001</v>
      </c>
      <c r="O127" s="124">
        <f t="shared" si="15"/>
        <v>3.2668629999999999</v>
      </c>
    </row>
    <row r="128" spans="1:26">
      <c r="A128" s="203"/>
      <c r="B128" s="105" t="s">
        <v>55</v>
      </c>
      <c r="C128" s="107">
        <f t="shared" ref="C128:O128" si="16">HLOOKUP(C$117,$86:$102,13,FALSE)</f>
        <v>8.9918355000000005</v>
      </c>
      <c r="D128" s="107">
        <f t="shared" si="16"/>
        <v>10.485035</v>
      </c>
      <c r="E128" s="107">
        <f t="shared" si="16"/>
        <v>5.6085469999999997</v>
      </c>
      <c r="F128" s="107">
        <f t="shared" si="16"/>
        <v>12.829401000000001</v>
      </c>
      <c r="G128" s="107">
        <f t="shared" si="16"/>
        <v>11.323399</v>
      </c>
      <c r="H128" s="107">
        <f t="shared" si="16"/>
        <v>12.2750895</v>
      </c>
      <c r="I128" s="107">
        <f t="shared" si="16"/>
        <v>16.584269500000001</v>
      </c>
      <c r="J128" s="107">
        <f t="shared" si="16"/>
        <v>15.726691000000001</v>
      </c>
      <c r="K128" s="107">
        <f t="shared" si="16"/>
        <v>15.578734000000001</v>
      </c>
      <c r="L128" s="107">
        <f t="shared" si="16"/>
        <v>14.1961285</v>
      </c>
      <c r="M128" s="107">
        <f t="shared" si="16"/>
        <v>9.2427220000000005</v>
      </c>
      <c r="N128" s="107">
        <f t="shared" si="16"/>
        <v>9.5122354999999992</v>
      </c>
      <c r="O128" s="124">
        <f t="shared" si="16"/>
        <v>12.261645</v>
      </c>
    </row>
    <row r="129" spans="1:15">
      <c r="A129" s="203"/>
      <c r="B129" s="105" t="s">
        <v>54</v>
      </c>
      <c r="C129" s="107">
        <f>HLOOKUP(C$117,$86:$102,12,FALSE)</f>
        <v>8.9918355000000005</v>
      </c>
      <c r="D129" s="107">
        <f t="shared" ref="D129:O129" si="17">HLOOKUP(D$117,$86:$102,12,FALSE)</f>
        <v>10.485035</v>
      </c>
      <c r="E129" s="107">
        <f t="shared" si="17"/>
        <v>5.6085469999999997</v>
      </c>
      <c r="F129" s="107">
        <f t="shared" si="17"/>
        <v>12.829401000000001</v>
      </c>
      <c r="G129" s="107">
        <f t="shared" si="17"/>
        <v>11.323399</v>
      </c>
      <c r="H129" s="107">
        <f t="shared" si="17"/>
        <v>12.2750895</v>
      </c>
      <c r="I129" s="107">
        <f t="shared" si="17"/>
        <v>16.584269500000001</v>
      </c>
      <c r="J129" s="107">
        <f t="shared" si="17"/>
        <v>15.726691000000001</v>
      </c>
      <c r="K129" s="107">
        <f t="shared" si="17"/>
        <v>15.578734000000001</v>
      </c>
      <c r="L129" s="107">
        <f t="shared" si="17"/>
        <v>14.1961285</v>
      </c>
      <c r="M129" s="107">
        <f t="shared" si="17"/>
        <v>9.2427220000000005</v>
      </c>
      <c r="N129" s="107">
        <f t="shared" si="17"/>
        <v>9.5122354999999992</v>
      </c>
      <c r="O129" s="124">
        <f t="shared" si="17"/>
        <v>12.261645</v>
      </c>
    </row>
    <row r="130" spans="1:15">
      <c r="A130" s="203"/>
      <c r="B130" s="114" t="s">
        <v>2</v>
      </c>
      <c r="C130" s="115">
        <f>HLOOKUP(C$117,$86:$102,14,FALSE)</f>
        <v>306.50178499999998</v>
      </c>
      <c r="D130" s="115">
        <f t="shared" ref="D130:O130" si="18">HLOOKUP(D$117,$86:$102,14,FALSE)</f>
        <v>322.97768200000002</v>
      </c>
      <c r="E130" s="115">
        <f t="shared" si="18"/>
        <v>292.23284200000001</v>
      </c>
      <c r="F130" s="115">
        <f t="shared" si="18"/>
        <v>317.716701</v>
      </c>
      <c r="G130" s="115">
        <f t="shared" si="18"/>
        <v>321.61298199999999</v>
      </c>
      <c r="H130" s="115">
        <f t="shared" si="18"/>
        <v>356.60256199999998</v>
      </c>
      <c r="I130" s="115">
        <f t="shared" si="18"/>
        <v>390.11994299999998</v>
      </c>
      <c r="J130" s="115">
        <f t="shared" si="18"/>
        <v>473.01025600000003</v>
      </c>
      <c r="K130" s="115">
        <f t="shared" si="18"/>
        <v>543.15263100000004</v>
      </c>
      <c r="L130" s="115">
        <f t="shared" si="18"/>
        <v>392.86143900000002</v>
      </c>
      <c r="M130" s="115">
        <f t="shared" si="18"/>
        <v>356.93928599999998</v>
      </c>
      <c r="N130" s="115">
        <f t="shared" si="18"/>
        <v>303.71633100000003</v>
      </c>
      <c r="O130" s="125">
        <f t="shared" si="18"/>
        <v>371.54316999999998</v>
      </c>
    </row>
    <row r="131" spans="1:15">
      <c r="A131" s="203"/>
      <c r="B131" s="105" t="s">
        <v>21</v>
      </c>
      <c r="C131" s="116">
        <f>HLOOKUP(C$117,$86:$102,15,FALSE)</f>
        <v>112.440268</v>
      </c>
      <c r="D131" s="116">
        <f t="shared" ref="D131:O131" si="19">HLOOKUP(D$117,$86:$102,15,FALSE)</f>
        <v>122.760274</v>
      </c>
      <c r="E131" s="116">
        <f t="shared" si="19"/>
        <v>114.74408200000001</v>
      </c>
      <c r="F131" s="116">
        <f t="shared" si="19"/>
        <v>110.667727</v>
      </c>
      <c r="G131" s="116">
        <f t="shared" si="19"/>
        <v>109.36235000000001</v>
      </c>
      <c r="H131" s="116">
        <f t="shared" si="19"/>
        <v>117.764884</v>
      </c>
      <c r="I131" s="116">
        <f t="shared" si="19"/>
        <v>145.36358899999999</v>
      </c>
      <c r="J131" s="116">
        <f t="shared" si="19"/>
        <v>208.454387</v>
      </c>
      <c r="K131" s="116">
        <f t="shared" si="19"/>
        <v>187.956546</v>
      </c>
      <c r="L131" s="116">
        <f t="shared" si="19"/>
        <v>162.00915900000001</v>
      </c>
      <c r="M131" s="116">
        <f t="shared" si="19"/>
        <v>144.54443599999999</v>
      </c>
      <c r="N131" s="116">
        <f t="shared" si="19"/>
        <v>78.195680999999993</v>
      </c>
      <c r="O131" s="116">
        <f t="shared" si="19"/>
        <v>77.984769</v>
      </c>
    </row>
    <row r="132" spans="1:15">
      <c r="A132" s="203"/>
      <c r="B132" s="117" t="s">
        <v>1</v>
      </c>
      <c r="C132" s="118">
        <f>HLOOKUP(C$117,$86:$102,16,FALSE)</f>
        <v>418.94205299999999</v>
      </c>
      <c r="D132" s="118">
        <f t="shared" ref="D132:O132" si="20">HLOOKUP(D$117,$86:$102,16,FALSE)</f>
        <v>445.737956</v>
      </c>
      <c r="E132" s="118">
        <f t="shared" si="20"/>
        <v>406.976924</v>
      </c>
      <c r="F132" s="118">
        <f t="shared" si="20"/>
        <v>428.38442800000001</v>
      </c>
      <c r="G132" s="118">
        <f t="shared" si="20"/>
        <v>430.97533199999998</v>
      </c>
      <c r="H132" s="118">
        <f t="shared" si="20"/>
        <v>474.36744599999997</v>
      </c>
      <c r="I132" s="118">
        <f t="shared" si="20"/>
        <v>535.48353199999997</v>
      </c>
      <c r="J132" s="118">
        <f t="shared" si="20"/>
        <v>681.46464300000002</v>
      </c>
      <c r="K132" s="118">
        <f t="shared" si="20"/>
        <v>731.10917700000005</v>
      </c>
      <c r="L132" s="118">
        <f t="shared" si="20"/>
        <v>554.87059799999997</v>
      </c>
      <c r="M132" s="118">
        <f t="shared" si="20"/>
        <v>501.483722</v>
      </c>
      <c r="N132" s="118">
        <f t="shared" si="20"/>
        <v>381.912012</v>
      </c>
      <c r="O132" s="118">
        <f t="shared" si="20"/>
        <v>449.527939</v>
      </c>
    </row>
    <row r="133" spans="1:15" ht="14.25">
      <c r="A133" s="204"/>
      <c r="B133" s="126" t="s">
        <v>75</v>
      </c>
      <c r="C133" s="127">
        <f>C120+C121+C123</f>
        <v>28.870017999999998</v>
      </c>
      <c r="D133" s="127">
        <f>D120+D121+D123</f>
        <v>30.443576</v>
      </c>
      <c r="E133" s="127">
        <f t="shared" ref="E133:O133" si="21">E120+E121+E123</f>
        <v>28.621776999999998</v>
      </c>
      <c r="F133" s="127">
        <f t="shared" si="21"/>
        <v>30.374336</v>
      </c>
      <c r="G133" s="127">
        <f t="shared" si="21"/>
        <v>47.711207999999999</v>
      </c>
      <c r="H133" s="127">
        <f t="shared" si="21"/>
        <v>41.291938999999999</v>
      </c>
      <c r="I133" s="127">
        <f t="shared" si="21"/>
        <v>61.203187</v>
      </c>
      <c r="J133" s="127">
        <f t="shared" si="21"/>
        <v>103.43266399999999</v>
      </c>
      <c r="K133" s="127">
        <f t="shared" si="21"/>
        <v>120.37340399999999</v>
      </c>
      <c r="L133" s="127">
        <f t="shared" si="21"/>
        <v>72.807096999999999</v>
      </c>
      <c r="M133" s="127">
        <f t="shared" si="21"/>
        <v>65.130349999999993</v>
      </c>
      <c r="N133" s="127">
        <f t="shared" si="21"/>
        <v>29.175886999999999</v>
      </c>
      <c r="O133" s="127">
        <f t="shared" si="21"/>
        <v>32.568353999999999</v>
      </c>
    </row>
    <row r="134" spans="1:15">
      <c r="A134" s="202" t="s">
        <v>77</v>
      </c>
      <c r="B134" s="128" t="s">
        <v>73</v>
      </c>
      <c r="C134" s="111" t="str">
        <f>TEXT(EDATE($A$2,-12),"mmm")&amp;".-"&amp;TEXT(EDATE($A$2,-12),"aa")</f>
        <v>dic.-23</v>
      </c>
      <c r="D134" s="111" t="str">
        <f>TEXT(EDATE($A$2,-11),"mmm")&amp;".-"&amp;TEXT(EDATE($A$2,-11),"aa")</f>
        <v>ene.-24</v>
      </c>
      <c r="E134" s="111" t="str">
        <f>TEXT(EDATE($A$2,-10),"mmm")&amp;".-"&amp;TEXT(EDATE($A$2,-10),"aa")</f>
        <v>feb.-24</v>
      </c>
      <c r="F134" s="111" t="str">
        <f>TEXT(EDATE($A$2,-9),"mmm")&amp;".-"&amp;TEXT(EDATE($A$2,-9),"aa")</f>
        <v>mar.-24</v>
      </c>
      <c r="G134" s="111" t="str">
        <f>TEXT(EDATE($A$2,-8),"mmm")&amp;".-"&amp;TEXT(EDATE($A$2,-8),"aa")</f>
        <v>abr.-24</v>
      </c>
      <c r="H134" s="111" t="str">
        <f>TEXT(EDATE($A$2,-7),"mmm")&amp;".-"&amp;TEXT(EDATE($A$2,-7),"aa")</f>
        <v>may.-24</v>
      </c>
      <c r="I134" s="111" t="str">
        <f>TEXT(EDATE($A$2,-6),"mmm")&amp;".-"&amp;TEXT(EDATE($A$2,-6),"aa")</f>
        <v>jun.-24</v>
      </c>
      <c r="J134" s="111" t="str">
        <f>TEXT(EDATE($A$2,-5),"mmm")&amp;".-"&amp;TEXT(EDATE($A$2,-5),"aa")</f>
        <v>jul.-24</v>
      </c>
      <c r="K134" s="111" t="str">
        <f>TEXT(EDATE($A$2,-4),"mmm")&amp;".-"&amp;TEXT(EDATE($A$2,-4),"aa")</f>
        <v>ago.-24</v>
      </c>
      <c r="L134" s="111" t="str">
        <f>TEXT(EDATE($A$2,-3),"mmm")&amp;".-"&amp;TEXT(EDATE($A$2,-3),"aa")</f>
        <v>sep.-24</v>
      </c>
      <c r="M134" s="111" t="str">
        <f>TEXT(EDATE($A$2,-2),"mmm")&amp;".-"&amp;TEXT(EDATE($A$2,-2),"aa")</f>
        <v>oct.-24</v>
      </c>
      <c r="N134" s="111" t="str">
        <f>TEXT(EDATE($A$2,-1),"mmm")&amp;".-"&amp;TEXT(EDATE($A$2,-1),"aa")</f>
        <v>nov.-24</v>
      </c>
      <c r="O134" s="112" t="str">
        <f>TEXT($A$2,"mmm")&amp;".-"&amp;TEXT($A$2,"aa")</f>
        <v>dic.-24</v>
      </c>
    </row>
    <row r="135" spans="1:15" ht="15" customHeight="1">
      <c r="A135" s="203"/>
      <c r="B135" s="105" t="s">
        <v>12</v>
      </c>
      <c r="C135" s="107">
        <f>HLOOKUP(C$117,$86:$115,17,FALSE)</f>
        <v>0.30560300000000001</v>
      </c>
      <c r="D135" s="107">
        <f t="shared" ref="D135:N135" si="22">HLOOKUP(D$117,$86:$115,17,FALSE)</f>
        <v>0.29624200000000001</v>
      </c>
      <c r="E135" s="107">
        <f t="shared" si="22"/>
        <v>0.28508299999999998</v>
      </c>
      <c r="F135" s="107">
        <f t="shared" si="22"/>
        <v>0.272924</v>
      </c>
      <c r="G135" s="107">
        <f t="shared" si="22"/>
        <v>0.258407</v>
      </c>
      <c r="H135" s="107">
        <f t="shared" si="22"/>
        <v>0.28213199999999999</v>
      </c>
      <c r="I135" s="107">
        <f t="shared" si="22"/>
        <v>0.27541500000000002</v>
      </c>
      <c r="J135" s="107">
        <f t="shared" si="22"/>
        <v>0.290603</v>
      </c>
      <c r="K135" s="107">
        <f t="shared" si="22"/>
        <v>0.28181699999999998</v>
      </c>
      <c r="L135" s="107">
        <f t="shared" si="22"/>
        <v>0.27621200000000001</v>
      </c>
      <c r="M135" s="107">
        <f t="shared" si="22"/>
        <v>0.29845300000000002</v>
      </c>
      <c r="N135" s="107">
        <f t="shared" si="22"/>
        <v>0.28431800000000002</v>
      </c>
      <c r="O135" s="144">
        <f>HLOOKUP(O$117,$86:$115,17,FALSE)</f>
        <v>0.28783500000000001</v>
      </c>
    </row>
    <row r="136" spans="1:15">
      <c r="A136" s="203"/>
      <c r="B136" s="105" t="s">
        <v>10</v>
      </c>
      <c r="C136" s="107">
        <f>HLOOKUP(C$117,$86:$115,18,FALSE)+HLOOKUP(C$117,$86:$115,22,FALSE)</f>
        <v>171.03571600000001</v>
      </c>
      <c r="D136" s="107">
        <f>HLOOKUP(D$117,$86:$115,18,FALSE)+HLOOKUP(D$117,$86:$115,22,FALSE)</f>
        <v>166.77709300000001</v>
      </c>
      <c r="E136" s="107">
        <f t="shared" ref="E136:N136" si="23">HLOOKUP(E$117,$86:$115,18,FALSE)+HLOOKUP(E$117,$86:$115,22,FALSE)</f>
        <v>147.58979299999999</v>
      </c>
      <c r="F136" s="107">
        <f t="shared" si="23"/>
        <v>156.05254400000001</v>
      </c>
      <c r="G136" s="107">
        <f t="shared" si="23"/>
        <v>143.99597600000001</v>
      </c>
      <c r="H136" s="107">
        <f t="shared" si="23"/>
        <v>142.89773500000001</v>
      </c>
      <c r="I136" s="107">
        <f t="shared" si="23"/>
        <v>147.24789200000001</v>
      </c>
      <c r="J136" s="107">
        <f t="shared" si="23"/>
        <v>156.974729</v>
      </c>
      <c r="K136" s="107">
        <f t="shared" si="23"/>
        <v>149.168069</v>
      </c>
      <c r="L136" s="107">
        <f t="shared" si="23"/>
        <v>154.83455499999999</v>
      </c>
      <c r="M136" s="107">
        <f t="shared" si="23"/>
        <v>157.66810000000001</v>
      </c>
      <c r="N136" s="107">
        <f t="shared" si="23"/>
        <v>159.29623000000001</v>
      </c>
      <c r="O136" s="124">
        <f>HLOOKUP(O$117,$86:$115,18,FALSE)+HLOOKUP(O$117,$86:$115,22,FALSE)</f>
        <v>155.10421700000001</v>
      </c>
    </row>
    <row r="137" spans="1:15">
      <c r="A137" s="203"/>
      <c r="B137" s="105" t="s">
        <v>9</v>
      </c>
      <c r="C137" s="107">
        <f>HLOOKUP(C$117,$86:$115,19,FALSE)</f>
        <v>26.447642999999999</v>
      </c>
      <c r="D137" s="107">
        <f t="shared" ref="D137:O137" si="24">HLOOKUP(D$117,$86:$115,19,FALSE)</f>
        <v>28.032011000000001</v>
      </c>
      <c r="E137" s="107">
        <f t="shared" si="24"/>
        <v>23.301389</v>
      </c>
      <c r="F137" s="107">
        <f t="shared" si="24"/>
        <v>22.780221000000001</v>
      </c>
      <c r="G137" s="107">
        <f t="shared" si="24"/>
        <v>15.018001</v>
      </c>
      <c r="H137" s="107">
        <f t="shared" si="24"/>
        <v>13.174446</v>
      </c>
      <c r="I137" s="107">
        <f t="shared" si="24"/>
        <v>26.579124</v>
      </c>
      <c r="J137" s="107">
        <f t="shared" si="24"/>
        <v>16.279032000000001</v>
      </c>
      <c r="K137" s="107">
        <f t="shared" si="24"/>
        <v>15.569345999999999</v>
      </c>
      <c r="L137" s="107">
        <f t="shared" si="24"/>
        <v>24.246791000000002</v>
      </c>
      <c r="M137" s="107">
        <f t="shared" si="24"/>
        <v>16.089413</v>
      </c>
      <c r="N137" s="107">
        <f t="shared" si="24"/>
        <v>29.485838000000001</v>
      </c>
      <c r="O137" s="124">
        <f t="shared" si="24"/>
        <v>20.168593999999999</v>
      </c>
    </row>
    <row r="138" spans="1:15">
      <c r="A138" s="203"/>
      <c r="B138" s="105" t="s">
        <v>8</v>
      </c>
      <c r="C138" s="107">
        <f>HLOOKUP(C$117,$86:$115,20,FALSE)</f>
        <v>96.450059999999993</v>
      </c>
      <c r="D138" s="107">
        <f t="shared" ref="D138:O138" si="25">HLOOKUP(D$117,$86:$115,20,FALSE)</f>
        <v>118.36447</v>
      </c>
      <c r="E138" s="107">
        <f t="shared" si="25"/>
        <v>100.186932</v>
      </c>
      <c r="F138" s="107">
        <f t="shared" si="25"/>
        <v>116.04889799999999</v>
      </c>
      <c r="G138" s="107">
        <f t="shared" si="25"/>
        <v>98.285223000000002</v>
      </c>
      <c r="H138" s="107">
        <f t="shared" si="25"/>
        <v>106.53814</v>
      </c>
      <c r="I138" s="107">
        <f t="shared" si="25"/>
        <v>79.128829999999994</v>
      </c>
      <c r="J138" s="107">
        <f t="shared" si="25"/>
        <v>105.68064699999999</v>
      </c>
      <c r="K138" s="107">
        <f t="shared" si="25"/>
        <v>101.50272699999999</v>
      </c>
      <c r="L138" s="107">
        <f t="shared" si="25"/>
        <v>73.604264000000001</v>
      </c>
      <c r="M138" s="107">
        <f t="shared" si="25"/>
        <v>85.936983999999995</v>
      </c>
      <c r="N138" s="107">
        <f t="shared" si="25"/>
        <v>88.402636000000001</v>
      </c>
      <c r="O138" s="124">
        <f t="shared" si="25"/>
        <v>67.812443999999999</v>
      </c>
    </row>
    <row r="139" spans="1:15" ht="14.25">
      <c r="A139" s="203"/>
      <c r="B139" s="105" t="s">
        <v>74</v>
      </c>
      <c r="C139" s="107">
        <f>HLOOKUP(C$117,$86:$115,21,FALSE)</f>
        <v>343.70541600000001</v>
      </c>
      <c r="D139" s="107">
        <f t="shared" ref="D139:O139" si="26">HLOOKUP(D$117,$86:$115,21,FALSE)</f>
        <v>348.60822999999999</v>
      </c>
      <c r="E139" s="107">
        <f t="shared" si="26"/>
        <v>282.95672999999999</v>
      </c>
      <c r="F139" s="107">
        <f t="shared" si="26"/>
        <v>305.966994</v>
      </c>
      <c r="G139" s="107">
        <f t="shared" si="26"/>
        <v>315.19474500000001</v>
      </c>
      <c r="H139" s="107">
        <f t="shared" si="26"/>
        <v>259.74817300000001</v>
      </c>
      <c r="I139" s="107">
        <f t="shared" si="26"/>
        <v>269.75380799999999</v>
      </c>
      <c r="J139" s="107">
        <f t="shared" si="26"/>
        <v>264.109264</v>
      </c>
      <c r="K139" s="107">
        <f t="shared" si="26"/>
        <v>258.28017799999998</v>
      </c>
      <c r="L139" s="107">
        <f t="shared" si="26"/>
        <v>294.563964</v>
      </c>
      <c r="M139" s="107">
        <f t="shared" si="26"/>
        <v>354.061463</v>
      </c>
      <c r="N139" s="107">
        <f t="shared" si="26"/>
        <v>391.04191900000001</v>
      </c>
      <c r="O139" s="124">
        <f t="shared" si="26"/>
        <v>377.43598400000002</v>
      </c>
    </row>
    <row r="140" spans="1:15">
      <c r="A140" s="203"/>
      <c r="B140" s="105" t="s">
        <v>6</v>
      </c>
      <c r="C140" s="107">
        <f>HLOOKUP(C$117,$86:$115,23,FALSE)</f>
        <v>0.66913</v>
      </c>
      <c r="D140" s="107">
        <f t="shared" ref="D140:O140" si="27">HLOOKUP(D$117,$86:$115,23,FALSE)</f>
        <v>0.66808100000000004</v>
      </c>
      <c r="E140" s="107">
        <f t="shared" si="27"/>
        <v>1.414679</v>
      </c>
      <c r="F140" s="107">
        <f t="shared" si="27"/>
        <v>1.5891550000000001</v>
      </c>
      <c r="G140" s="107">
        <f t="shared" si="27"/>
        <v>1.2945469999999999</v>
      </c>
      <c r="H140" s="107">
        <f t="shared" si="27"/>
        <v>2.2523740000000001</v>
      </c>
      <c r="I140" s="107">
        <f t="shared" si="27"/>
        <v>2.6292490000000002</v>
      </c>
      <c r="J140" s="107">
        <f t="shared" si="27"/>
        <v>3.5113029999999998</v>
      </c>
      <c r="K140" s="107">
        <f t="shared" si="27"/>
        <v>3.975784</v>
      </c>
      <c r="L140" s="107">
        <f t="shared" si="27"/>
        <v>2.2682389999999999</v>
      </c>
      <c r="M140" s="107">
        <f t="shared" si="27"/>
        <v>1.839432</v>
      </c>
      <c r="N140" s="107">
        <f t="shared" si="27"/>
        <v>0.25298199999999998</v>
      </c>
      <c r="O140" s="124">
        <f t="shared" si="27"/>
        <v>1.347515</v>
      </c>
    </row>
    <row r="141" spans="1:15">
      <c r="A141" s="203"/>
      <c r="B141" s="105" t="s">
        <v>5</v>
      </c>
      <c r="C141" s="107">
        <f>HLOOKUP(C$117,$86:$115,24,FALSE)</f>
        <v>71.082879000000005</v>
      </c>
      <c r="D141" s="107">
        <f t="shared" ref="D141:O141" si="28">HLOOKUP(D$117,$86:$115,24,FALSE)</f>
        <v>53.153264999999998</v>
      </c>
      <c r="E141" s="107">
        <f t="shared" si="28"/>
        <v>108.660585</v>
      </c>
      <c r="F141" s="107">
        <f t="shared" si="28"/>
        <v>89.285196999999997</v>
      </c>
      <c r="G141" s="107">
        <f t="shared" si="28"/>
        <v>94.672573</v>
      </c>
      <c r="H141" s="107">
        <f t="shared" si="28"/>
        <v>147.02184</v>
      </c>
      <c r="I141" s="107">
        <f t="shared" si="28"/>
        <v>129.86778200000001</v>
      </c>
      <c r="J141" s="107">
        <f t="shared" si="28"/>
        <v>169.43657200000001</v>
      </c>
      <c r="K141" s="107">
        <f t="shared" si="28"/>
        <v>210.63246799999999</v>
      </c>
      <c r="L141" s="107">
        <f t="shared" si="28"/>
        <v>148.53897900000001</v>
      </c>
      <c r="M141" s="107">
        <f t="shared" si="28"/>
        <v>116.739524</v>
      </c>
      <c r="N141" s="107">
        <f t="shared" si="28"/>
        <v>42.198247000000002</v>
      </c>
      <c r="O141" s="124">
        <f t="shared" si="28"/>
        <v>98.604759000000001</v>
      </c>
    </row>
    <row r="142" spans="1:15">
      <c r="A142" s="203"/>
      <c r="B142" s="105" t="s">
        <v>4</v>
      </c>
      <c r="C142" s="107">
        <f>HLOOKUP(C$117,$86:$115,25,FALSE)</f>
        <v>23.810552999999999</v>
      </c>
      <c r="D142" s="107">
        <f t="shared" ref="D142:O142" si="29">HLOOKUP(D$117,$86:$115,25,FALSE)</f>
        <v>24.766017999999999</v>
      </c>
      <c r="E142" s="107">
        <f t="shared" si="29"/>
        <v>26.429468</v>
      </c>
      <c r="F142" s="107">
        <f t="shared" si="29"/>
        <v>31.966273999999999</v>
      </c>
      <c r="G142" s="107">
        <f t="shared" si="29"/>
        <v>36.070126000000002</v>
      </c>
      <c r="H142" s="107">
        <f t="shared" si="29"/>
        <v>35.821750999999999</v>
      </c>
      <c r="I142" s="107">
        <f t="shared" si="29"/>
        <v>36.232920999999997</v>
      </c>
      <c r="J142" s="107">
        <f t="shared" si="29"/>
        <v>42.799511000000003</v>
      </c>
      <c r="K142" s="107">
        <f t="shared" si="29"/>
        <v>40.863112000000001</v>
      </c>
      <c r="L142" s="107">
        <f t="shared" si="29"/>
        <v>37.483722</v>
      </c>
      <c r="M142" s="107">
        <f t="shared" si="29"/>
        <v>36.283222000000002</v>
      </c>
      <c r="N142" s="107">
        <f t="shared" si="29"/>
        <v>28.385072999999998</v>
      </c>
      <c r="O142" s="124">
        <f t="shared" si="29"/>
        <v>27.153786</v>
      </c>
    </row>
    <row r="143" spans="1:15">
      <c r="A143" s="203"/>
      <c r="B143" s="105" t="s">
        <v>22</v>
      </c>
      <c r="C143" s="107">
        <f>HLOOKUP(C$117,$86:$115,26,FALSE)</f>
        <v>0.44537900000000002</v>
      </c>
      <c r="D143" s="107">
        <f t="shared" ref="D143:O143" si="30">HLOOKUP(D$117,$86:$115,26,FALSE)</f>
        <v>0.50013399999999997</v>
      </c>
      <c r="E143" s="107">
        <f t="shared" si="30"/>
        <v>0.49944300000000003</v>
      </c>
      <c r="F143" s="107">
        <f t="shared" si="30"/>
        <v>0.57839200000000002</v>
      </c>
      <c r="G143" s="107">
        <f t="shared" si="30"/>
        <v>0.26424700000000001</v>
      </c>
      <c r="H143" s="107">
        <f t="shared" si="30"/>
        <v>0.430983</v>
      </c>
      <c r="I143" s="107">
        <f t="shared" si="30"/>
        <v>0.49796200000000002</v>
      </c>
      <c r="J143" s="107">
        <f t="shared" si="30"/>
        <v>0.62341999999999997</v>
      </c>
      <c r="K143" s="107">
        <f t="shared" si="30"/>
        <v>1.3289139999999999</v>
      </c>
      <c r="L143" s="107">
        <f t="shared" si="30"/>
        <v>1.1101749999999999</v>
      </c>
      <c r="M143" s="107">
        <f t="shared" si="30"/>
        <v>1.1028469999999999</v>
      </c>
      <c r="N143" s="107">
        <f t="shared" si="30"/>
        <v>1.1775519999999999</v>
      </c>
      <c r="O143" s="124">
        <f t="shared" si="30"/>
        <v>1.130485</v>
      </c>
    </row>
    <row r="144" spans="1:15">
      <c r="A144" s="203"/>
      <c r="B144" s="117" t="s">
        <v>1</v>
      </c>
      <c r="C144" s="118">
        <f>HLOOKUP(C$117,$86:$115,28,FALSE)</f>
        <v>733.95237899999995</v>
      </c>
      <c r="D144" s="118">
        <f t="shared" ref="D144:O144" si="31">HLOOKUP(D$117,$86:$115,28,FALSE)</f>
        <v>741.16554399999995</v>
      </c>
      <c r="E144" s="118">
        <f t="shared" si="31"/>
        <v>691.32410200000004</v>
      </c>
      <c r="F144" s="118">
        <f t="shared" si="31"/>
        <v>724.54059900000004</v>
      </c>
      <c r="G144" s="118">
        <f t="shared" si="31"/>
        <v>705.05384500000002</v>
      </c>
      <c r="H144" s="118">
        <f t="shared" si="31"/>
        <v>708.16757399999995</v>
      </c>
      <c r="I144" s="118">
        <f t="shared" si="31"/>
        <v>692.21298300000001</v>
      </c>
      <c r="J144" s="118">
        <f t="shared" si="31"/>
        <v>759.70508099999995</v>
      </c>
      <c r="K144" s="118">
        <f t="shared" si="31"/>
        <v>781.60241499999995</v>
      </c>
      <c r="L144" s="118">
        <f t="shared" si="31"/>
        <v>736.92690100000004</v>
      </c>
      <c r="M144" s="118">
        <f t="shared" si="31"/>
        <v>770.01943800000004</v>
      </c>
      <c r="N144" s="118">
        <f t="shared" si="31"/>
        <v>740.52479500000004</v>
      </c>
      <c r="O144" s="118">
        <f t="shared" si="31"/>
        <v>749.04561899999999</v>
      </c>
    </row>
    <row r="145" spans="1:26">
      <c r="A145" s="203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4"/>
      <c r="B146" s="126" t="s">
        <v>75</v>
      </c>
      <c r="C146" s="130">
        <f>SUM(C136:C138)</f>
        <v>293.93341900000001</v>
      </c>
      <c r="D146" s="130">
        <f t="shared" ref="D146:N146" si="32">SUM(D136:D138)</f>
        <v>313.17357400000003</v>
      </c>
      <c r="E146" s="130">
        <f t="shared" si="32"/>
        <v>271.07811399999997</v>
      </c>
      <c r="F146" s="130">
        <f t="shared" si="32"/>
        <v>294.881663</v>
      </c>
      <c r="G146" s="130">
        <f t="shared" si="32"/>
        <v>257.29920000000004</v>
      </c>
      <c r="H146" s="130">
        <f t="shared" si="32"/>
        <v>262.610321</v>
      </c>
      <c r="I146" s="130">
        <f t="shared" si="32"/>
        <v>252.95584600000001</v>
      </c>
      <c r="J146" s="130">
        <f t="shared" si="32"/>
        <v>278.93440799999996</v>
      </c>
      <c r="K146" s="130">
        <f t="shared" si="32"/>
        <v>266.24014199999999</v>
      </c>
      <c r="L146" s="130">
        <f t="shared" si="32"/>
        <v>252.68561</v>
      </c>
      <c r="M146" s="130">
        <f t="shared" si="32"/>
        <v>259.69449700000001</v>
      </c>
      <c r="N146" s="130">
        <f t="shared" si="32"/>
        <v>277.18470400000001</v>
      </c>
      <c r="O146" s="131">
        <f>SUM(O136:O138)</f>
        <v>243.08525499999999</v>
      </c>
    </row>
    <row r="149" spans="1:26" ht="15">
      <c r="A149" s="157"/>
      <c r="B149" s="157" t="s">
        <v>68</v>
      </c>
      <c r="C149" s="201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129</v>
      </c>
      <c r="B152" s="159" t="s">
        <v>130</v>
      </c>
      <c r="C152" s="175">
        <v>7.3010000000000005E-2</v>
      </c>
      <c r="D152" s="175">
        <v>-4.2999999999999999E-4</v>
      </c>
      <c r="E152" s="175">
        <v>3.193E-2</v>
      </c>
      <c r="F152" s="175">
        <v>4.1509999999999998E-2</v>
      </c>
      <c r="G152" s="175">
        <v>3.0599999999999998E-3</v>
      </c>
      <c r="H152" s="175">
        <v>-5.5000000000000003E-4</v>
      </c>
      <c r="I152" s="175">
        <v>-1.1299999999999999E-2</v>
      </c>
      <c r="J152" s="175">
        <v>1.491E-2</v>
      </c>
      <c r="K152" s="175">
        <v>3.0599999999999998E-3</v>
      </c>
      <c r="L152" s="175">
        <v>-5.5000000000000003E-4</v>
      </c>
      <c r="M152" s="175">
        <v>-1.1299999999999999E-2</v>
      </c>
      <c r="N152" s="175">
        <v>1.491E-2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1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129</v>
      </c>
      <c r="B158" s="159" t="s">
        <v>130</v>
      </c>
      <c r="C158" s="175">
        <v>2.0559999999999998E-2</v>
      </c>
      <c r="D158" s="175">
        <v>5.1500000000000001E-3</v>
      </c>
      <c r="E158" s="175">
        <v>6.0000000000000002E-5</v>
      </c>
      <c r="F158" s="175">
        <v>1.5350000000000001E-2</v>
      </c>
      <c r="G158" s="175">
        <v>5.1500000000000001E-3</v>
      </c>
      <c r="H158" s="175">
        <v>8.0000000000000004E-4</v>
      </c>
      <c r="I158" s="175">
        <v>-3.9699999999999996E-3</v>
      </c>
      <c r="J158" s="175">
        <v>8.3199999999999993E-3</v>
      </c>
      <c r="K158" s="175">
        <v>5.1500000000000001E-3</v>
      </c>
      <c r="L158" s="175">
        <v>8.0000000000000004E-4</v>
      </c>
      <c r="M158" s="175">
        <v>-3.9699999999999996E-3</v>
      </c>
      <c r="N158" s="175">
        <v>8.3199999999999993E-3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Z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Diciembre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Diciembre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449.527939</v>
      </c>
      <c r="G9" s="147">
        <f>Dat_01!T24*100</f>
        <v>7.3007438100000002</v>
      </c>
      <c r="H9" s="75">
        <f>Dat_01!U24/1000</f>
        <v>6022.2937089999996</v>
      </c>
      <c r="I9" s="147">
        <f>Dat_01!W24*100</f>
        <v>0.30552752999999999</v>
      </c>
      <c r="J9" s="75">
        <f>Dat_01!X24/1000</f>
        <v>6022.2937089999996</v>
      </c>
      <c r="K9" s="147">
        <f>Dat_01!Y24*100</f>
        <v>0.30552752999999999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-4.2999999999999997E-2</v>
      </c>
      <c r="H12" s="94"/>
      <c r="I12" s="94">
        <f>Dat_01!H152*100</f>
        <v>-5.5E-2</v>
      </c>
      <c r="J12" s="94"/>
      <c r="K12" s="94">
        <f>Dat_01!L152*100</f>
        <v>-5.5E-2</v>
      </c>
    </row>
    <row r="13" spans="3:12">
      <c r="E13" s="77" t="s">
        <v>42</v>
      </c>
      <c r="F13" s="76"/>
      <c r="G13" s="94">
        <f>Dat_01!E152*100</f>
        <v>3.1930000000000001</v>
      </c>
      <c r="H13" s="94"/>
      <c r="I13" s="94">
        <f>Dat_01!I152*100</f>
        <v>-1.1299999999999999</v>
      </c>
      <c r="J13" s="94"/>
      <c r="K13" s="94">
        <f>Dat_01!M152*100</f>
        <v>-1.1299999999999999</v>
      </c>
    </row>
    <row r="14" spans="3:12">
      <c r="E14" s="78" t="s">
        <v>43</v>
      </c>
      <c r="F14" s="79"/>
      <c r="G14" s="95">
        <f>Dat_01!F152*100</f>
        <v>4.1509999999999998</v>
      </c>
      <c r="H14" s="95"/>
      <c r="I14" s="95">
        <f>Dat_01!J152*100</f>
        <v>1.4909999999999999</v>
      </c>
      <c r="J14" s="95"/>
      <c r="K14" s="95">
        <f>Dat_01!N152*100</f>
        <v>1.4909999999999999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Diciembre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Diciembre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749.04561899999999</v>
      </c>
      <c r="G9" s="147">
        <f>Dat_01!AB24*100</f>
        <v>2.0564331500000002</v>
      </c>
      <c r="H9" s="75">
        <f>Dat_01!AC24/1000</f>
        <v>8800.288896</v>
      </c>
      <c r="I9" s="147">
        <f>Dat_01!AE24*100</f>
        <v>0.51518885999999997</v>
      </c>
      <c r="J9" s="75">
        <f>Dat_01!AF24/1000</f>
        <v>8800.288896</v>
      </c>
      <c r="K9" s="147">
        <f>Dat_01!AG24*100</f>
        <v>0.51518885999999997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0.51500000000000001</v>
      </c>
      <c r="H12" s="94"/>
      <c r="I12" s="94">
        <f>Dat_01!H158*100</f>
        <v>0.08</v>
      </c>
      <c r="J12" s="94"/>
      <c r="K12" s="94">
        <f>Dat_01!L158*100</f>
        <v>0.08</v>
      </c>
    </row>
    <row r="13" spans="3:12">
      <c r="E13" s="77" t="s">
        <v>42</v>
      </c>
      <c r="F13" s="76"/>
      <c r="G13" s="94">
        <f>Dat_01!E158*100</f>
        <v>6.0000000000000001E-3</v>
      </c>
      <c r="H13" s="94"/>
      <c r="I13" s="94">
        <f>Dat_01!I158*100</f>
        <v>-0.39699999999999996</v>
      </c>
      <c r="J13" s="94"/>
      <c r="K13" s="94">
        <f>Dat_01!M158*100</f>
        <v>-0.39699999999999996</v>
      </c>
    </row>
    <row r="14" spans="3:12">
      <c r="E14" s="78" t="s">
        <v>43</v>
      </c>
      <c r="F14" s="79"/>
      <c r="G14" s="95">
        <f>Dat_01!F158*100</f>
        <v>1.5350000000000001</v>
      </c>
      <c r="H14" s="95"/>
      <c r="I14" s="95">
        <f>Dat_01!J158*100</f>
        <v>0.83199999999999996</v>
      </c>
      <c r="J14" s="95"/>
      <c r="K14" s="95">
        <f>Dat_01!N158*100</f>
        <v>0.83199999999999996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135</v>
      </c>
    </row>
    <row r="2" spans="1:2">
      <c r="A2" t="s">
        <v>131</v>
      </c>
    </row>
    <row r="3" spans="1:2">
      <c r="A3" t="s">
        <v>132</v>
      </c>
    </row>
    <row r="4" spans="1:2">
      <c r="A4" t="s">
        <v>133</v>
      </c>
    </row>
    <row r="5" spans="1:2">
      <c r="A5" t="s">
        <v>134</v>
      </c>
    </row>
    <row r="6" spans="1:2">
      <c r="A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Diciembre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38">
        <f>Dat_01!Z8/1000</f>
        <v>0.28783499999999995</v>
      </c>
      <c r="I9" s="14">
        <f>IF(Dat_01!AB8*100=-100,"-",Dat_01!AB8*100)</f>
        <v>-5.8140790500000001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1.347515</v>
      </c>
      <c r="I10" s="14">
        <f>Dat_01!AB15*100</f>
        <v>101.3831393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98.604759000000001</v>
      </c>
      <c r="I11" s="14">
        <f>Dat_01!AB16*100</f>
        <v>38.718015350000002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24.970147000000001</v>
      </c>
      <c r="G12" s="14">
        <f>Dat_01!T17*100</f>
        <v>7.87993246</v>
      </c>
      <c r="H12" s="138">
        <f>Dat_01!Z17/1000</f>
        <v>27.153786</v>
      </c>
      <c r="I12" s="14">
        <f>Dat_01!AB17*100</f>
        <v>14.04097166</v>
      </c>
      <c r="J12" s="138">
        <f>Dat_01!B17</f>
        <v>0</v>
      </c>
      <c r="K12" s="14" t="str">
        <f>IF(Dat_01!D17=-100%,"-",Dat_01!D17*100)</f>
        <v>-</v>
      </c>
      <c r="L12" s="138">
        <f>Dat_01!J17/1000</f>
        <v>3.581E-3</v>
      </c>
      <c r="M12" s="14">
        <f>IF(Dat_01!L17*100=-100,"-",Dat_01!L17*100)</f>
        <v>1.35861874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0.23000100000000001</v>
      </c>
      <c r="G13" s="14">
        <f>IF(Dat_01!T18=-100%,"-",Dat_01!T18*100)</f>
        <v>82.168909450000001</v>
      </c>
      <c r="H13" s="138">
        <f>Dat_01!Z18/1000</f>
        <v>1.130485</v>
      </c>
      <c r="I13" s="14">
        <f>IF(Dat_01!AB18*100=-100,"-",Dat_01!AB18*100)</f>
        <v>153.82539365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12.261645</v>
      </c>
      <c r="G14" s="14">
        <f>Dat_01!T21*100</f>
        <v>36.364205059999996</v>
      </c>
      <c r="H14" s="138" t="s">
        <v>3</v>
      </c>
      <c r="I14" s="14" t="s">
        <v>3</v>
      </c>
      <c r="J14" s="138" t="s">
        <v>3</v>
      </c>
      <c r="K14" s="14" t="s">
        <v>3</v>
      </c>
      <c r="L14" s="138">
        <f>Dat_01!J21/1000</f>
        <v>0.39467200000000002</v>
      </c>
      <c r="M14" s="14">
        <f>Dat_01!L21*100</f>
        <v>-39.322911259999998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37.461793</v>
      </c>
      <c r="G15" s="156">
        <f>((SUM(Dat_01!R8,Dat_01!R15:R18,Dat_01!R20)/SUM(Dat_01!S8,Dat_01!S15:S18,Dat_01!S20))-1)*100</f>
        <v>16.1090010496576</v>
      </c>
      <c r="H15" s="155">
        <f>SUM(H9:H14)</f>
        <v>128.52438000000001</v>
      </c>
      <c r="I15" s="156">
        <f>((SUM(Dat_01!Z8,Dat_01!Z15:Z18,Dat_01!Z20)/SUM(Dat_01!AA8,Dat_01!AA15:AA18,Dat_01!AA20))-1)*100</f>
        <v>33.443724176529145</v>
      </c>
      <c r="J15" s="155">
        <f>SUM(J9:J14)</f>
        <v>0</v>
      </c>
      <c r="K15" s="156" t="str">
        <f>IF(((SUM(Dat_01!B8,Dat_01!B15:B18,Dat_01!B20)/SUM(Dat_01!C8,Dat_01!C5:IC18,Dat_01!C20))-1)*100=-100,"-",((SUM(Dat_01!B8,Dat_01!B15:B18,Dat_01!B20)/SUM(Dat_01!C8,Dat_01!C5:IC18,Dat_01!C20))-1)*100)</f>
        <v>-</v>
      </c>
      <c r="L15" s="155">
        <f>SUM(L9:L14)</f>
        <v>0.39825300000000002</v>
      </c>
      <c r="M15" s="156">
        <f>((SUM(Dat_01!J8,Dat_01!J15:J18,Dat_01!J20)/SUM(Dat_01!K8,Dat_01!K15:K18,Dat_01!K20))-1)*100</f>
        <v>-39.103137024937318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-0.80044000000000004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7.4261010000000001</v>
      </c>
      <c r="G17" s="20">
        <f>((SUM(Dat_01!R10,Dat_01!R14)/SUM(Dat_01!S10,Dat_01!S14))-1)*100</f>
        <v>18.523090860136193</v>
      </c>
      <c r="H17" s="139">
        <f>SUM(Dat_01!Z10,Dat_01!Z14)/1000</f>
        <v>155.10421700000001</v>
      </c>
      <c r="I17" s="20">
        <f>((SUM(Dat_01!Z10,Dat_01!Z14)/SUM(Dat_01!AA10,Dat_01!AA14))-1)*100</f>
        <v>-9.3147205581318389</v>
      </c>
      <c r="J17" s="139">
        <f>Dat_01!B10/1000</f>
        <v>14.502299000000001</v>
      </c>
      <c r="K17" s="20">
        <f>Dat_01!D10*100</f>
        <v>-5.9126412099999994</v>
      </c>
      <c r="L17" s="139">
        <f>Dat_01!J10/1000</f>
        <v>15.602386000000001</v>
      </c>
      <c r="M17" s="20">
        <f>Dat_01!L10*100</f>
        <v>5.5696812399999995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25.142253</v>
      </c>
      <c r="G18" s="20">
        <f>Dat_01!T11*100</f>
        <v>11.226824130000001</v>
      </c>
      <c r="H18" s="139">
        <f>Dat_01!Z11/1000</f>
        <v>20.168594000000002</v>
      </c>
      <c r="I18" s="20">
        <f>Dat_01!AB11*100</f>
        <v>-23.741431330000001</v>
      </c>
      <c r="J18" s="139">
        <f>Dat_01!B11/1000</f>
        <v>0</v>
      </c>
      <c r="K18" s="20" t="str">
        <f>IF(Dat_01!D11=-100%,"-",Dat_01!D11*100)</f>
        <v>-</v>
      </c>
      <c r="L18" s="139">
        <f>Dat_01!J11/1000</f>
        <v>0</v>
      </c>
      <c r="M18" s="20" t="str">
        <f>IF(Dat_01!L11*100=-100,"-",Dat_01!L11*100)</f>
        <v>-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67.812443999999999</v>
      </c>
      <c r="I19" s="20">
        <f>Dat_01!AB12*100</f>
        <v>-29.691651819999997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32.568353999999999</v>
      </c>
      <c r="G20" s="14">
        <f>((SUM(Dat_01!R10:R12,Dat_01!R14)/SUM(Dat_01!S10:S12,Dat_01!S14))-1)*100</f>
        <v>12.810300291465015</v>
      </c>
      <c r="H20" s="138">
        <f>SUM(H17:H19)</f>
        <v>243.08525500000002</v>
      </c>
      <c r="I20" s="14">
        <f>(H20/(H17/(I17/100+1)+H18/(I18/100+1)+H19/(I19/100+1))-1)*100</f>
        <v>-17.299211559173202</v>
      </c>
      <c r="J20" s="138">
        <f>SUM(J17:J19)</f>
        <v>14.502299000000001</v>
      </c>
      <c r="K20" s="14">
        <f>((SUM(Dat_01!B10:B12)/SUM(Dat_01!C10:C12))-1)*100</f>
        <v>-5.9751428610884894</v>
      </c>
      <c r="L20" s="138">
        <f>SUM(L17:L19)</f>
        <v>15.602386000000001</v>
      </c>
      <c r="M20" s="14">
        <f>((SUM(Dat_01!J10:J12)/SUM(Dat_01!K10:K12))-1)*100</f>
        <v>5.5558182771852094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286.78495500000002</v>
      </c>
      <c r="G21" s="14">
        <f>Dat_01!T13*100</f>
        <v>22.60223951</v>
      </c>
      <c r="H21" s="138">
        <f>Dat_01!Z13/1000</f>
        <v>377.43598400000002</v>
      </c>
      <c r="I21" s="14">
        <f>Dat_01!AB13*100</f>
        <v>9.8138017099999999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3.2668629999999999</v>
      </c>
      <c r="G22" s="14">
        <f>Dat_01!T19*100</f>
        <v>3.4955528600000001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12.261645</v>
      </c>
      <c r="G23" s="14">
        <f>Dat_01!T20*100</f>
        <v>36.364205059999996</v>
      </c>
      <c r="H23" s="138" t="s">
        <v>3</v>
      </c>
      <c r="I23" s="14" t="s">
        <v>3</v>
      </c>
      <c r="J23" s="138" t="s">
        <v>3</v>
      </c>
      <c r="K23" s="14" t="s">
        <v>3</v>
      </c>
      <c r="L23" s="138">
        <f>Dat_01!J20/1000</f>
        <v>0.39467200000000002</v>
      </c>
      <c r="M23" s="14">
        <f>Dat_01!L20*100</f>
        <v>-39.322911259999998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334.08137700000003</v>
      </c>
      <c r="G24" s="156">
        <f>((SUM(Dat_01!R9:R14,Dat_01!R19,Dat_01!R21)/SUM(Dat_01!S9:S14,Dat_01!S19,Dat_01!S21))-1)*100</f>
        <v>21.821936696185084</v>
      </c>
      <c r="H24" s="140">
        <f>SUM(H16,H20:H23)</f>
        <v>620.52123900000004</v>
      </c>
      <c r="I24" s="156">
        <f>((SUM(Dat_01!Z9:Z14,Dat_01!Z19,Dat_01!Z21)/SUM(Dat_01!AA9:AA14,Dat_01!AA19,Dat_01!AA21))-1)*100</f>
        <v>-2.6845284603783437</v>
      </c>
      <c r="J24" s="140">
        <f>SUM(J16,J20:J23)</f>
        <v>14.502299000000001</v>
      </c>
      <c r="K24" s="156">
        <f>((SUM(Dat_01!B9:B14,Dat_01!B19,Dat_01!B21)/SUM(Dat_01!C9:C14,Dat_01!C19,Dat_01!C21))-1)*100</f>
        <v>-5.9751428610884894</v>
      </c>
      <c r="L24" s="140">
        <f>SUM(L16,L20:L23)</f>
        <v>15.997058000000001</v>
      </c>
      <c r="M24" s="156">
        <f>((SUM(Dat_01!J9:J14,Dat_01!J19,Dat_01!J21)/SUM(Dat_01!K9:K14,Dat_01!K19,Dat_01!K21))-1)*100</f>
        <v>3.6641687107654253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77.984769</v>
      </c>
      <c r="G25" s="11">
        <f>Dat_01!T23*100</f>
        <v>-30.643380359999998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449.527939</v>
      </c>
      <c r="G26" s="8">
        <f>Dat_01!T24*100</f>
        <v>7.3007438100000002</v>
      </c>
      <c r="H26" s="142">
        <f>Dat_01!Z24/1000</f>
        <v>749.04561899999999</v>
      </c>
      <c r="I26" s="8">
        <f>Dat_01!AB24*100</f>
        <v>2.0564331500000002</v>
      </c>
      <c r="J26" s="142">
        <f>Dat_01!B24/1000</f>
        <v>14.502299000000001</v>
      </c>
      <c r="K26" s="8">
        <f>Dat_01!D24*100</f>
        <v>-5.9755390999999998</v>
      </c>
      <c r="L26" s="142">
        <f>Dat_01!J24/1000</f>
        <v>16.395311000000003</v>
      </c>
      <c r="M26" s="8">
        <f>Dat_01!L24*100</f>
        <v>1.9254119100000002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 K15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27" sqref="G27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Diciembre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Diciembre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K11" sqref="K11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Diciembre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Diciembre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2025-01-16T11:13:59Z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