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4\SEP\INF_ELABORADA\"/>
    </mc:Choice>
  </mc:AlternateContent>
  <xr:revisionPtr revIDLastSave="0" documentId="13_ncr:1_{9BEE3451-26FF-474A-B658-0396FE8C2585}"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96" l="1"/>
  <c r="N82" i="96"/>
  <c r="P65" i="96"/>
  <c r="O65" i="96"/>
  <c r="C98" i="96" l="1"/>
  <c r="C104" i="96"/>
  <c r="N86"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I465" i="96"/>
  <c r="F465" i="96"/>
  <c r="C465" i="96"/>
  <c r="B465" i="96"/>
  <c r="M87" i="96"/>
  <c r="M86" i="96"/>
  <c r="M84" i="96" l="1"/>
  <c r="N89" i="96"/>
  <c r="N84" i="96"/>
  <c r="P355" i="96"/>
  <c r="Q371" i="96"/>
  <c r="P371" i="96"/>
  <c r="C107" i="96" l="1"/>
  <c r="A116"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P171" i="96" l="1"/>
  <c r="K94" i="96" l="1"/>
  <c r="C101" i="96" l="1"/>
  <c r="G107" i="96" l="1"/>
  <c r="G105" i="96"/>
  <c r="C105" i="96"/>
  <c r="G104" i="96"/>
  <c r="G103" i="96"/>
  <c r="C103" i="96"/>
  <c r="G102" i="96"/>
  <c r="C102" i="96"/>
  <c r="G101" i="96"/>
  <c r="G100" i="96"/>
  <c r="C100" i="96"/>
  <c r="G99" i="96"/>
  <c r="C99" i="96"/>
  <c r="G98" i="96"/>
  <c r="F94" i="96"/>
  <c r="N88" i="96"/>
  <c r="N87" i="96"/>
  <c r="N85" i="96"/>
  <c r="N83"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N91" i="96" l="1"/>
  <c r="M81" i="96"/>
  <c r="N81" i="96"/>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2" i="96" l="1"/>
  <c r="P298" i="96"/>
  <c r="P279" i="96"/>
  <c r="Q235" i="96"/>
  <c r="P235" i="96"/>
  <c r="P216"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<sst xmlns="http://schemas.openxmlformats.org/spreadsheetml/2006/main" count="2366" uniqueCount="382">
  <si>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</si>
  <si>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</si>
  <si>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</si>
  <si>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</si>
  <si>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</si>
  <si>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</si>
  <si>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</si>
  <si>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</si>
  <si>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</si>
  <si>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</si>
  <si>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</si>
  <si>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</si>
  <si>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</si>
  <si>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</si>
  <si>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</si>
  <si>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</si>
  <si>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</si>
  <si>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</si>
  <si>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</si>
  <si>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</si>
  <si>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</si>
  <si>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</si>
  <si>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</si>
  <si>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</si>
  <si>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</si>
  <si>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</si>
  <si>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</si>
  <si>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</si>
  <si>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</si>
  <si>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</si>
  <si>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</si>
  <si>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</si>
  <si>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</si>
  <si>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</si>
  <si>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</si>
  <si>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</si>
  <si>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</si>
  <si>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</si>
  <si>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</si>
  <si>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</si>
  <si>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</si>
  <si>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</si>
  <si>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</si>
  <si>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</si>
  <si>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</si>
  <si>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</si>
  <si>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</si>
  <si>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</si>
  <si>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</si>
  <si>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</si>
  <si>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</si>
  <si>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</si>
  <si>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</si>
  <si>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</si>
  <si>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</si>
  <si>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</si>
  <si>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</si>
  <si>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</si>
  <si>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</si>
  <si>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</si>
  <si>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</si>
  <si>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</si>
  <si>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</si>
  <si>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</si>
  <si>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</si>
  <si>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</si>
  <si>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</si>
  <si>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</si>
  <si>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</si>
  <si>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</si>
  <si>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</si>
  <si>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</si>
  <si>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</si>
  <si>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</si>
  <si>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</si>
  <si>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</si>
  <si>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</si>
  <si>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</si>
  <si>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</si>
  <si>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</si>
  <si>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</si>
  <si>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</si>
  <si>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</si>
  <si>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</si>
  <si>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</si>
  <si>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</si>
  <si>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</si>
  <si>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</si>
  <si>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</si>
  <si>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</si>
  <si>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</si>
  <si>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</si>
  <si>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</si>
  <si>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</si>
  <si>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</si>
  <si>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</si>
  <si>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</si>
  <si>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</si>
  <si>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</si>
  <si>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</si>
  <si>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</si>
  <si>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</si>
  <si>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</si>
  <si>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</si>
  <si>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</si>
  <si>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</si>
  <si>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</si>
  <si>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</si>
  <si>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</si>
  <si>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</si>
  <si>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</si>
  <si>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</si>
  <si>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</si>
  <si>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</si>
  <si>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</si>
  <si>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</si>
  <si>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</si>
  <si>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</si>
  <si>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</si>
  <si>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</si>
  <si>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</si>
  <si>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</si>
  <si>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</si>
  <si>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</si>
  <si>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</si>
  <si>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</si>
  <si>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</si>
  <si>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</si>
  <si>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</si>
  <si>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</si>
  <si>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</si>
  <si>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</si>
  <si>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</si>
  <si>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</si>
  <si>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</si>
  <si>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</si>
  <si>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</si>
  <si>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</si>
  <si>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</si>
  <si>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</si>
  <si>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</si>
  <si>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</si>
  <si>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</si>
  <si>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</si>
  <si>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</si>
  <si>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</si>
  <si>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</si>
  <si>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</si>
  <si>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</si>
  <si>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</si>
  <si>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</si>
  <si>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</si>
  <si>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</si>
  <si>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</si>
  <si>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</si>
  <si>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</si>
  <si>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</si>
  <si>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</si>
  <si>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</si>
  <si>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</si>
  <si>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</si>
  <si>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</si>
  <si>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</si>
  <si>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</si>
  <si>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</si>
  <si>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</si>
  <si>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</si>
  <si>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</si>
  <si>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</si>
  <si>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</si>
  <si>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</si>
  <si>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</si>
  <si>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</si>
  <si>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</si>
  <si>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</si>
  <si>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</si>
  <si>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</si>
  <si>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</si>
  <si>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</si>
  <si>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</si>
  <si>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</si>
  <si>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</si>
  <si>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</si>
  <si>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</si>
  <si>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</si>
  <si>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</si>
  <si>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</si>
  <si>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</si>
  <si>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</si>
  <si>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</si>
  <si>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</si>
  <si>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</si>
  <si>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</si>
  <si>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</si>
  <si>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</si>
  <si>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</si>
  <si>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</si>
  <si>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</si>
  <si>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</si>
  <si>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</si>
  <si>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</si>
  <si>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</si>
  <si>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</si>
  <si>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</si>
  <si>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</si>
  <si>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</si>
  <si>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</si>
  <si>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</si>
  <si>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</si>
  <si>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</si>
  <si>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</si>
  <si>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</si>
  <si>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</si>
  <si>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</si>
  <si>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</si>
  <si>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</si>
  <si>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</si>
  <si>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</si>
  <si>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</si>
  <si>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</si>
  <si>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</si>
  <si>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</si>
  <si>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</si>
  <si>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</si>
  <si>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</si>
  <si>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</si>
  <si>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</si>
  <si>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</si>
  <si>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</si>
  <si>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</si>
  <si>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</si>
  <si>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</si>
  <si>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</si>
  <si>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</si>
  <si>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</si>
  <si>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</si>
  <si>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</si>
  <si>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</si>
  <si>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</si>
  <si>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</si>
  <si>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</si>
  <si>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</si>
  <si>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</si>
  <si>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</si>
  <si>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</si>
  <si>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</si>
  <si>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</si>
  <si>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</si>
  <si>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</si>
  <si>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</si>
  <si>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</si>
  <si>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</si>
  <si>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</si>
  <si>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</si>
  <si>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</si>
  <si>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</si>
  <si>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</si>
  <si>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</si>
  <si>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</si>
  <si>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</si>
  <si>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</si>
  <si>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</si>
  <si>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</si>
  <si>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</si>
  <si>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</si>
  <si>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</si>
  <si>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</si>
  <si>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</si>
  <si>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</si>
  <si>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</si>
  <si>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</si>
  <si>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</si>
  <si>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</si>
  <si>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</si>
  <si>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</si>
  <si>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</si>
  <si>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</si>
  <si>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</si>
  <si>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</si>
  <si>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</si>
  <si>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</si>
  <si>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</si>
  <si>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</si>
  <si>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</si>
  <si>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</si>
  <si>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</si>
  <si>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</si>
  <si>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</si>
  <si>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</si>
  <si>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</si>
  <si>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</si>
  <si>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</si>
  <si>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</si>
  <si>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</si>
  <si>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</si>
  <si>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</si>
  <si>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</si>
  <si>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</si>
  <si>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</si>
  <si>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</si>
  <si>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</si>
  <si>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</si>
  <si>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</si>
  <si>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</si>
  <si>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</si>
  <si>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</si>
  <si>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</si>
  <si>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</si>
  <si>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</si>
  <si>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</si>
  <si>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</si>
  <si>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</si>
  <si>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</si>
  <si>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</si>
  <si>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</si>
  <si>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</si>
  <si>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</si>
  <si>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</si>
  <si>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</si>
  <si>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</si>
  <si>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</si>
  <si>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</si>
  <si>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</si>
  <si>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</si>
  <si>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</si>
  <si>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</si>
  <si>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</si>
  <si>
    <t>2024 Septiembre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</si>
  <si>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ut="10/11/2024 11:44:37"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msgID="2ABA950A11EF87C69A360080EFD5329A"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nrr="3108" nrc="3112"&gt;&lt;pg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</si>
  <si>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ut="10/11/2024 11:52:18"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msgID="1C249A1211EF87C79A360080EF756F95"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nrr="2446" nrc="1599"&gt;&lt;pg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</si>
  <si>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Ingreso control de tensión</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</si>
  <si>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ut="10/11/2024 11:58:43"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msgID="1B75756811EF87C89A360080EFC5129A"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nrr="479" nrc="206"&gt;&lt;pg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</si>
  <si>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ut="10/11/2024 12:00:32"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msgID="63134C4211EF87C89A360080EFB5F098"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nrr="88" nrc="572"&gt;&lt;pg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</si>
  <si>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ut="10/11/2024 12:01:20"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msgID="636136A011EF87C89A360080EFA5CF96"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nrr="472" nrc="751"&gt;&lt;pg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</si>
  <si>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ut="10/11/2024 12:02:08"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msgID="A251BF2411EF87C89A360080EF451199"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nrr="88" nrc="559"&gt;&lt;pg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</si>
  <si>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ut="10/11/2024 12:02:57"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msgID="BF395B1011EF87C89A360080EFA5D19A"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nrr="94" nrc="598"&gt;&lt;pg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</si>
  <si>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ut="10/11/2024 12:12:51"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msgID="86EBAF7511EF87C89A360080EFE55198"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nrr="80" nrc="520"&gt;&lt;pg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</si>
  <si>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ut="10/11/2024 12:13:35"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msgID="DC53AA3E11EF87C89A360080EF553199"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rows="41" cols="15" /&gt;&lt;esdo ews="" ece="" ptn="" /&gt;&lt;/excel&gt;&lt;pgs&gt;&lt;pg rows="38" cols="13" nrr="2347" nrc="1326"&gt;&lt;pg /&gt;&lt;bls&gt;&lt;bl sr="1" sc="1" rfetch="38" cfetch="13" posid="1" darows="0" dacols="1"&gt;&lt;excel&gt;&lt;epo ews="Dat_01" ece="A131" enr="MSTR.Energía_restricciones_técnicas_PDBF_por_combustible"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</si>
  <si>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</si>
  <si>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</si>
  <si>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</si>
  <si>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ut="10/11/2024 12:27:25"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msgID="6EF1721611EF87CB9A360080EFD53096"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nrr="148" nrc="481"&gt;&lt;pg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</si>
  <si>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67ea605402054df1888d3fef94115ef0</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</si>
  <si>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ut="10/11/2024 12:31:01"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msgID="6EF2042E11EF87CB9A360080EF858F96"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nrr="320" nrc="520"&gt;&lt;pg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</si>
  <si>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SEP-24</t>
  </si>
  <si>
    <t>01/09/24</t>
  </si>
  <si>
    <t>HI
TCC</t>
  </si>
  <si>
    <t>BG
HI</t>
  </si>
  <si>
    <t>02/09/24</t>
  </si>
  <si>
    <t>HI
RE</t>
  </si>
  <si>
    <t>BG
HI
RE</t>
  </si>
  <si>
    <t>03/09/24</t>
  </si>
  <si>
    <t>04/09/24</t>
  </si>
  <si>
    <t>05/09/24</t>
  </si>
  <si>
    <t>BG
RE</t>
  </si>
  <si>
    <t>06/09/24</t>
  </si>
  <si>
    <t>07/09/24</t>
  </si>
  <si>
    <t>08/09/24</t>
  </si>
  <si>
    <t>09/09/24</t>
  </si>
  <si>
    <t>10/09/24</t>
  </si>
  <si>
    <t>11/09/24</t>
  </si>
  <si>
    <t>HI
II
RE</t>
  </si>
  <si>
    <t>12/09/24</t>
  </si>
  <si>
    <t>13/09/24</t>
  </si>
  <si>
    <t>14/09/24</t>
  </si>
  <si>
    <t>15/09/24</t>
  </si>
  <si>
    <t>16/09/24</t>
  </si>
  <si>
    <t>BG
HI
II</t>
  </si>
  <si>
    <t>17/09/24</t>
  </si>
  <si>
    <t>18/09/24</t>
  </si>
  <si>
    <t>19/09/24</t>
  </si>
  <si>
    <t>20/09/24</t>
  </si>
  <si>
    <t>21/09/24</t>
  </si>
  <si>
    <t>22/09/24</t>
  </si>
  <si>
    <t>23/09/24</t>
  </si>
  <si>
    <t>24/09/24</t>
  </si>
  <si>
    <t>25/09/24</t>
  </si>
  <si>
    <t>26/09/24</t>
  </si>
  <si>
    <t>27/09/24</t>
  </si>
  <si>
    <t>28/09/24</t>
  </si>
  <si>
    <t>29/09/24</t>
  </si>
  <si>
    <t>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</si>
</sst>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3">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sz val="8"/>
      <color rgb="FF000000"/>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8">
    <xf numFmtId="0" fontId="0" fillId="0" borderId="0"/>
    <xf numFmtId="167" fontId="13" fillId="0" borderId="0" applyFont="0" applyFill="0" applyBorder="0" applyAlignment="0" applyProtection="0"/>
    <xf numFmtId="0" fontId="14" fillId="0" borderId="0"/>
    <xf numFmtId="4" fontId="26" fillId="2" borderId="2">
      <alignment horizontal="right" vertical="center"/>
    </xf>
    <xf numFmtId="0" fontId="15" fillId="0" borderId="0"/>
    <xf numFmtId="0" fontId="15" fillId="0" borderId="0"/>
    <xf numFmtId="0" fontId="25" fillId="0" borderId="0"/>
    <xf numFmtId="0" fontId="25" fillId="0" borderId="0"/>
    <xf numFmtId="0" fontId="23" fillId="0" borderId="0"/>
    <xf numFmtId="9" fontId="24"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36" fillId="0" borderId="0"/>
    <xf numFmtId="0" fontId="37" fillId="0" borderId="0"/>
    <xf numFmtId="9" fontId="36" fillId="0" borderId="0" applyFont="0" applyFill="0" applyBorder="0" applyAlignment="0" applyProtection="0"/>
    <xf numFmtId="0" fontId="38" fillId="0" borderId="0"/>
    <xf numFmtId="0" fontId="41" fillId="0" borderId="0"/>
    <xf numFmtId="0" fontId="27" fillId="3" borderId="2">
      <alignment vertical="center" wrapText="1"/>
    </xf>
    <xf numFmtId="0" fontId="27" fillId="3" borderId="2">
      <alignment horizontal="center" wrapText="1"/>
    </xf>
    <xf numFmtId="0" fontId="12" fillId="0" borderId="0"/>
    <xf numFmtId="0" fontId="26" fillId="2" borderId="2">
      <alignment horizontal="left" vertical="center" wrapText="1"/>
    </xf>
    <xf numFmtId="3" fontId="26" fillId="2" borderId="2">
      <alignment horizontal="right" vertical="center"/>
    </xf>
    <xf numFmtId="9" fontId="12" fillId="0" borderId="0" applyFont="0" applyFill="0" applyBorder="0" applyAlignment="0" applyProtection="0"/>
    <xf numFmtId="164" fontId="26" fillId="2" borderId="2">
      <alignment horizontal="right" vertical="center"/>
    </xf>
    <xf numFmtId="164" fontId="48" fillId="7" borderId="2">
      <alignment horizontal="right" vertical="center"/>
    </xf>
    <xf numFmtId="0" fontId="11" fillId="0" borderId="0"/>
    <xf numFmtId="9" fontId="11" fillId="0" borderId="0" applyFont="0" applyFill="0" applyBorder="0" applyAlignment="0" applyProtection="0"/>
    <xf numFmtId="0" fontId="27" fillId="3" borderId="2">
      <alignment horizontal="center" wrapText="1"/>
    </xf>
    <xf numFmtId="0" fontId="26" fillId="2" borderId="2">
      <alignment horizontal="left" vertical="center" wrapText="1"/>
    </xf>
    <xf numFmtId="169" fontId="48" fillId="7" borderId="2">
      <alignment horizontal="left" vertical="center"/>
    </xf>
    <xf numFmtId="0" fontId="24" fillId="0" borderId="0"/>
    <xf numFmtId="0" fontId="15" fillId="0" borderId="0"/>
    <xf numFmtId="0" fontId="58" fillId="0" borderId="0" applyNumberFormat="0" applyFill="0" applyBorder="0" applyAlignment="0" applyProtection="0">
      <alignment vertical="top"/>
      <protection locked="0"/>
    </xf>
    <xf numFmtId="0" fontId="59" fillId="8" borderId="2">
      <alignment vertical="center" wrapText="1"/>
    </xf>
    <xf numFmtId="0" fontId="27" fillId="3" borderId="2">
      <alignment vertical="center" wrapText="1"/>
    </xf>
    <xf numFmtId="0" fontId="27" fillId="3" borderId="2">
      <alignment horizontal="center"/>
    </xf>
    <xf numFmtId="4" fontId="27" fillId="10" borderId="2">
      <alignment horizontal="right" vertical="center"/>
    </xf>
    <xf numFmtId="4" fontId="26" fillId="11" borderId="2">
      <alignment horizontal="right" vertical="center"/>
    </xf>
    <xf numFmtId="4" fontId="48" fillId="7" borderId="2">
      <alignment horizontal="right" vertical="center"/>
    </xf>
    <xf numFmtId="4" fontId="48" fillId="12" borderId="2">
      <alignment horizontal="right" vertical="center"/>
    </xf>
    <xf numFmtId="0" fontId="27" fillId="3" borderId="12">
      <alignment vertical="center" wrapText="1"/>
    </xf>
    <xf numFmtId="4" fontId="26" fillId="7" borderId="2">
      <alignment horizontal="right" vertical="center"/>
    </xf>
    <xf numFmtId="170" fontId="26" fillId="7" borderId="2">
      <alignment horizontal="right" vertical="center"/>
    </xf>
    <xf numFmtId="164" fontId="26" fillId="7" borderId="2">
      <alignment horizontal="right" vertical="center"/>
    </xf>
    <xf numFmtId="0" fontId="48" fillId="7" borderId="2">
      <alignment horizontal="left" vertical="center"/>
    </xf>
    <xf numFmtId="171" fontId="26" fillId="2" borderId="2">
      <alignment horizontal="right" vertical="center"/>
    </xf>
    <xf numFmtId="171" fontId="48" fillId="7" borderId="2">
      <alignment horizontal="right" vertical="center"/>
    </xf>
    <xf numFmtId="0" fontId="9" fillId="0" borderId="0"/>
    <xf numFmtId="0" fontId="8" fillId="0" borderId="0"/>
    <xf numFmtId="0" fontId="27" fillId="3" borderId="2">
      <alignment vertical="center" wrapText="1"/>
    </xf>
    <xf numFmtId="0" fontId="27" fillId="3" borderId="2">
      <alignment horizontal="center" wrapText="1"/>
    </xf>
    <xf numFmtId="0" fontId="7" fillId="0" borderId="0"/>
    <xf numFmtId="4" fontId="26" fillId="2" borderId="2">
      <alignment horizontal="right" vertical="center"/>
    </xf>
    <xf numFmtId="0" fontId="27" fillId="3" borderId="11">
      <alignment vertical="center" wrapText="1"/>
    </xf>
    <xf numFmtId="0" fontId="26" fillId="2" borderId="2">
      <alignment horizontal="left" vertical="center" wrapText="1"/>
    </xf>
    <xf numFmtId="3" fontId="26" fillId="2" borderId="2">
      <alignment horizontal="right" vertical="center"/>
    </xf>
    <xf numFmtId="0" fontId="26" fillId="2" borderId="2">
      <alignment horizontal="left" vertical="center" wrapText="1"/>
    </xf>
    <xf numFmtId="0" fontId="48" fillId="7" borderId="2">
      <alignment horizontal="left" vertical="center"/>
    </xf>
    <xf numFmtId="164" fontId="48" fillId="7" borderId="2">
      <alignment horizontal="right" vertical="center"/>
    </xf>
    <xf numFmtId="0" fontId="27" fillId="3" borderId="2">
      <alignment horizontal="center" wrapText="1"/>
    </xf>
    <xf numFmtId="0" fontId="60" fillId="9" borderId="12"/>
    <xf numFmtId="0" fontId="27" fillId="3" borderId="2">
      <alignment horizontal="center" wrapText="1"/>
    </xf>
    <xf numFmtId="0" fontId="26" fillId="2" borderId="2">
      <alignment horizontal="left" vertical="center" wrapText="1"/>
    </xf>
    <xf numFmtId="164" fontId="26" fillId="2" borderId="2">
      <alignment horizontal="right" vertical="center"/>
    </xf>
    <xf numFmtId="0" fontId="48" fillId="7" borderId="2">
      <alignment horizontal="left" vertical="center"/>
    </xf>
    <xf numFmtId="169" fontId="26" fillId="2" borderId="2">
      <alignment horizontal="left" vertical="center" wrapText="1"/>
    </xf>
    <xf numFmtId="0" fontId="27" fillId="3" borderId="12">
      <alignment vertical="center" wrapText="1"/>
    </xf>
    <xf numFmtId="164" fontId="48" fillId="7" borderId="2">
      <alignment horizontal="right" vertical="center"/>
    </xf>
    <xf numFmtId="0" fontId="69" fillId="0" borderId="0" applyNumberFormat="0" applyFill="0" applyBorder="0" applyAlignment="0" applyProtection="0"/>
    <xf numFmtId="0" fontId="70" fillId="0" borderId="0"/>
    <xf numFmtId="0" fontId="76" fillId="0" borderId="0"/>
    <xf numFmtId="0" fontId="6" fillId="0" borderId="0"/>
    <xf numFmtId="0" fontId="5" fillId="0" borderId="0"/>
    <xf numFmtId="43" fontId="24" fillId="0" borderId="0" applyFont="0" applyFill="0" applyBorder="0" applyAlignment="0" applyProtection="0"/>
    <xf numFmtId="4" fontId="26" fillId="11" borderId="2">
      <alignment horizontal="right" vertical="center"/>
    </xf>
    <xf numFmtId="4" fontId="26" fillId="14" borderId="2">
      <alignment horizontal="right" vertical="center"/>
    </xf>
    <xf numFmtId="4" fontId="27" fillId="10" borderId="2">
      <alignment horizontal="right" vertical="center"/>
    </xf>
    <xf numFmtId="4" fontId="48" fillId="12" borderId="2">
      <alignment horizontal="right" vertical="center"/>
    </xf>
    <xf numFmtId="4" fontId="48" fillId="7" borderId="2">
      <alignment horizontal="right" vertical="center"/>
    </xf>
    <xf numFmtId="164" fontId="26" fillId="7" borderId="2">
      <alignment horizontal="right" vertical="center"/>
    </xf>
    <xf numFmtId="4" fontId="26" fillId="2" borderId="2">
      <alignment horizontal="right" vertical="center"/>
    </xf>
    <xf numFmtId="0" fontId="4" fillId="0" borderId="0"/>
    <xf numFmtId="4" fontId="26" fillId="7" borderId="2">
      <alignment horizontal="right" vertical="center"/>
    </xf>
    <xf numFmtId="0" fontId="3" fillId="0" borderId="0"/>
    <xf numFmtId="0" fontId="2" fillId="0" borderId="0"/>
    <xf numFmtId="4" fontId="26" fillId="2" borderId="2">
      <alignment horizontal="right" vertical="center"/>
    </xf>
    <xf numFmtId="0" fontId="1" fillId="0" borderId="0"/>
  </cellStyleXfs>
  <cellXfs count="279">
    <xf numFmtId="0" fontId="0" fillId="0" borderId="0" xfId="0"/>
    <xf numFmtId="0" fontId="20" fillId="0" borderId="0" xfId="0" applyFont="1"/>
    <xf numFmtId="0" fontId="21" fillId="0" borderId="0" xfId="0" applyFont="1"/>
    <xf numFmtId="0" fontId="19" fillId="0" borderId="0" xfId="0" applyFont="1"/>
    <xf numFmtId="0" fontId="19" fillId="0" borderId="0" xfId="0" applyFont="1" applyAlignment="1">
      <alignment horizontal="left" vertical="center" indent="1"/>
    </xf>
    <xf numFmtId="0" fontId="20" fillId="0" borderId="0" xfId="0" applyFont="1" applyAlignment="1">
      <alignment horizontal="left" indent="1"/>
    </xf>
    <xf numFmtId="0" fontId="19" fillId="0" borderId="0" xfId="0" applyFont="1" applyAlignment="1">
      <alignment horizontal="left"/>
    </xf>
    <xf numFmtId="0" fontId="22" fillId="0" borderId="0" xfId="0" applyFont="1"/>
    <xf numFmtId="164" fontId="19" fillId="0" borderId="0" xfId="0" applyNumberFormat="1" applyFont="1" applyAlignment="1">
      <alignment wrapText="1"/>
    </xf>
    <xf numFmtId="0" fontId="20" fillId="5" borderId="0" xfId="0" applyFont="1" applyFill="1" applyAlignment="1">
      <alignment horizontal="left" indent="1"/>
    </xf>
    <xf numFmtId="0" fontId="18" fillId="0" borderId="0" xfId="8" applyFont="1"/>
    <xf numFmtId="0" fontId="18" fillId="0" borderId="0" xfId="0" applyFont="1"/>
    <xf numFmtId="0" fontId="19" fillId="5" borderId="0" xfId="0" applyFont="1" applyFill="1" applyAlignment="1">
      <alignment horizontal="left"/>
    </xf>
    <xf numFmtId="0" fontId="0" fillId="5" borderId="0" xfId="0" applyFill="1"/>
    <xf numFmtId="0" fontId="31" fillId="5" borderId="6" xfId="0" applyFont="1" applyFill="1" applyBorder="1"/>
    <xf numFmtId="0" fontId="32" fillId="5" borderId="5" xfId="0" applyFont="1" applyFill="1" applyBorder="1"/>
    <xf numFmtId="49" fontId="30" fillId="5" borderId="0" xfId="0" applyNumberFormat="1" applyFont="1" applyFill="1"/>
    <xf numFmtId="0" fontId="18" fillId="0" borderId="0" xfId="8" applyFont="1" applyAlignment="1">
      <alignment horizontal="right"/>
    </xf>
    <xf numFmtId="0" fontId="18" fillId="0" borderId="0" xfId="0" applyFont="1" applyAlignment="1">
      <alignment horizontal="right"/>
    </xf>
    <xf numFmtId="0" fontId="18" fillId="0" borderId="0" xfId="8" applyFont="1" applyAlignment="1">
      <alignment horizontal="left"/>
    </xf>
    <xf numFmtId="0" fontId="15" fillId="0" borderId="0" xfId="4"/>
    <xf numFmtId="0" fontId="16" fillId="0" borderId="0" xfId="4" applyFont="1" applyAlignment="1">
      <alignment horizontal="center" wrapText="1"/>
    </xf>
    <xf numFmtId="0" fontId="33" fillId="0" borderId="0" xfId="4" applyFont="1"/>
    <xf numFmtId="2" fontId="16" fillId="4" borderId="0" xfId="4" applyNumberFormat="1" applyFont="1" applyFill="1"/>
    <xf numFmtId="166" fontId="16" fillId="4" borderId="0" xfId="4" applyNumberFormat="1" applyFont="1" applyFill="1"/>
    <xf numFmtId="0" fontId="15" fillId="4" borderId="0" xfId="4" applyFill="1"/>
    <xf numFmtId="0" fontId="34" fillId="4" borderId="0" xfId="4" applyFont="1" applyFill="1" applyAlignment="1">
      <alignment horizontal="right" wrapText="1"/>
    </xf>
    <xf numFmtId="0" fontId="15" fillId="0" borderId="0" xfId="4" applyAlignment="1">
      <alignment vertical="center" wrapText="1"/>
    </xf>
    <xf numFmtId="0" fontId="15" fillId="0" borderId="0" xfId="11"/>
    <xf numFmtId="166" fontId="15" fillId="0" borderId="0" xfId="11" applyNumberFormat="1"/>
    <xf numFmtId="4" fontId="35" fillId="0" borderId="0" xfId="11" applyNumberFormat="1" applyFont="1"/>
    <xf numFmtId="0" fontId="15" fillId="0" borderId="0" xfId="12"/>
    <xf numFmtId="165" fontId="15" fillId="0" borderId="0" xfId="11" applyNumberFormat="1"/>
    <xf numFmtId="165" fontId="15" fillId="0" borderId="0" xfId="12" applyNumberFormat="1"/>
    <xf numFmtId="2" fontId="15" fillId="0" borderId="0" xfId="11" applyNumberFormat="1"/>
    <xf numFmtId="4" fontId="15" fillId="0" borderId="0" xfId="11" applyNumberFormat="1"/>
    <xf numFmtId="3" fontId="15" fillId="0" borderId="0" xfId="11" applyNumberFormat="1"/>
    <xf numFmtId="3" fontId="15" fillId="0" borderId="0" xfId="4" applyNumberFormat="1"/>
    <xf numFmtId="164" fontId="29" fillId="0" borderId="0" xfId="0" applyNumberFormat="1" applyFont="1" applyAlignment="1">
      <alignment wrapText="1"/>
    </xf>
    <xf numFmtId="3" fontId="17" fillId="6" borderId="0" xfId="0" applyNumberFormat="1" applyFont="1" applyFill="1"/>
    <xf numFmtId="0" fontId="39" fillId="0" borderId="0" xfId="16" applyFont="1" applyAlignment="1">
      <alignment horizontal="center"/>
    </xf>
    <xf numFmtId="0" fontId="39" fillId="0" borderId="0" xfId="16" applyFont="1"/>
    <xf numFmtId="1" fontId="39" fillId="0" borderId="0" xfId="16" applyNumberFormat="1" applyFont="1"/>
    <xf numFmtId="165" fontId="39" fillId="0" borderId="0" xfId="16" applyNumberFormat="1" applyFont="1"/>
    <xf numFmtId="165" fontId="40" fillId="0" borderId="0" xfId="16" applyNumberFormat="1" applyFont="1"/>
    <xf numFmtId="2" fontId="39" fillId="0" borderId="0" xfId="16" applyNumberFormat="1" applyFont="1"/>
    <xf numFmtId="0" fontId="41" fillId="0" borderId="0" xfId="17"/>
    <xf numFmtId="0" fontId="19" fillId="0" borderId="0" xfId="0" applyFont="1" applyAlignment="1">
      <alignment vertical="top" wrapText="1"/>
    </xf>
    <xf numFmtId="166" fontId="30" fillId="5" borderId="0" xfId="0" applyNumberFormat="1" applyFont="1" applyFill="1" applyAlignment="1">
      <alignment horizontal="right" vertical="center"/>
    </xf>
    <xf numFmtId="49" fontId="30" fillId="5" borderId="5" xfId="0" applyNumberFormat="1" applyFont="1" applyFill="1" applyBorder="1"/>
    <xf numFmtId="166" fontId="30" fillId="5" borderId="5" xfId="0" applyNumberFormat="1" applyFont="1" applyFill="1" applyBorder="1" applyAlignment="1">
      <alignment horizontal="right" vertical="center"/>
    </xf>
    <xf numFmtId="166" fontId="30" fillId="5" borderId="0" xfId="0" applyNumberFormat="1" applyFont="1" applyFill="1"/>
    <xf numFmtId="164" fontId="29" fillId="0" borderId="0" xfId="0" applyNumberFormat="1" applyFont="1" applyAlignment="1">
      <alignment vertical="top" wrapText="1"/>
    </xf>
    <xf numFmtId="166" fontId="0" fillId="0" borderId="0" xfId="0" applyNumberFormat="1"/>
    <xf numFmtId="0" fontId="42" fillId="0" borderId="0" xfId="0" applyFont="1"/>
    <xf numFmtId="4" fontId="13" fillId="0" borderId="0" xfId="0" applyNumberFormat="1" applyFont="1"/>
    <xf numFmtId="0" fontId="45" fillId="5" borderId="0" xfId="20" applyFont="1" applyFill="1"/>
    <xf numFmtId="0" fontId="46" fillId="5" borderId="9" xfId="20" applyFont="1" applyFill="1" applyBorder="1"/>
    <xf numFmtId="0" fontId="21" fillId="0" borderId="0" xfId="0" applyFont="1" applyAlignment="1">
      <alignment wrapText="1"/>
    </xf>
    <xf numFmtId="0" fontId="20" fillId="0" borderId="0" xfId="0" applyFont="1" applyAlignment="1">
      <alignment horizontal="left" wrapText="1"/>
    </xf>
    <xf numFmtId="0" fontId="43" fillId="0" borderId="0" xfId="20" applyFont="1" applyAlignment="1">
      <alignment wrapText="1"/>
    </xf>
    <xf numFmtId="0" fontId="20" fillId="0" borderId="0" xfId="0" applyFont="1" applyAlignment="1">
      <alignment wrapText="1"/>
    </xf>
    <xf numFmtId="0" fontId="44" fillId="5" borderId="8" xfId="20" applyFont="1" applyFill="1" applyBorder="1" applyAlignment="1">
      <alignment wrapText="1"/>
    </xf>
    <xf numFmtId="17" fontId="46" fillId="5" borderId="8" xfId="20" quotePrefix="1" applyNumberFormat="1" applyFont="1" applyFill="1" applyBorder="1" applyAlignment="1">
      <alignment horizontal="right" wrapText="1"/>
    </xf>
    <xf numFmtId="0" fontId="47" fillId="5" borderId="9" xfId="0" applyFont="1" applyFill="1" applyBorder="1" applyAlignment="1">
      <alignment horizontal="left" vertical="center"/>
    </xf>
    <xf numFmtId="168" fontId="47" fillId="5" borderId="9" xfId="9" applyNumberFormat="1" applyFont="1" applyFill="1" applyBorder="1" applyAlignment="1" applyProtection="1">
      <alignment vertical="center"/>
    </xf>
    <xf numFmtId="4" fontId="0" fillId="0" borderId="0" xfId="0" applyNumberFormat="1"/>
    <xf numFmtId="0" fontId="28" fillId="0" borderId="0" xfId="11" applyFont="1"/>
    <xf numFmtId="0" fontId="11" fillId="0" borderId="0" xfId="26"/>
    <xf numFmtId="4" fontId="11" fillId="0" borderId="0" xfId="26" applyNumberFormat="1"/>
    <xf numFmtId="168" fontId="15" fillId="0" borderId="0" xfId="9" applyNumberFormat="1" applyFont="1"/>
    <xf numFmtId="0" fontId="49" fillId="0" borderId="0" xfId="11" applyFont="1"/>
    <xf numFmtId="0" fontId="50" fillId="0" borderId="0" xfId="11" applyFont="1"/>
    <xf numFmtId="168" fontId="0" fillId="0" borderId="0" xfId="27" applyNumberFormat="1" applyFont="1" applyFill="1"/>
    <xf numFmtId="0" fontId="51" fillId="0" borderId="0" xfId="0" applyFont="1"/>
    <xf numFmtId="0" fontId="10" fillId="0" borderId="0" xfId="26" applyFont="1"/>
    <xf numFmtId="0" fontId="43" fillId="0" borderId="0" xfId="20" applyFont="1" applyAlignment="1">
      <alignment horizontal="center" wrapText="1"/>
    </xf>
    <xf numFmtId="0" fontId="20" fillId="0" borderId="0" xfId="0" quotePrefix="1" applyFont="1"/>
    <xf numFmtId="0" fontId="52" fillId="0" borderId="0" xfId="0" applyFont="1"/>
    <xf numFmtId="0" fontId="53" fillId="0" borderId="0" xfId="0" applyFont="1" applyAlignment="1">
      <alignment horizontal="left" vertical="center" indent="1"/>
    </xf>
    <xf numFmtId="0" fontId="52" fillId="0" borderId="0" xfId="0" applyFont="1" applyAlignment="1">
      <alignment horizontal="left" indent="1"/>
    </xf>
    <xf numFmtId="0" fontId="52" fillId="5" borderId="0" xfId="0" applyFont="1" applyFill="1" applyAlignment="1">
      <alignment horizontal="left" indent="1"/>
    </xf>
    <xf numFmtId="17" fontId="18" fillId="0" borderId="0" xfId="0" applyNumberFormat="1" applyFont="1" applyAlignment="1">
      <alignment horizontal="right"/>
    </xf>
    <xf numFmtId="165" fontId="54" fillId="0" borderId="0" xfId="0" applyNumberFormat="1" applyFont="1"/>
    <xf numFmtId="0" fontId="54" fillId="0" borderId="0" xfId="0" applyFont="1"/>
    <xf numFmtId="164" fontId="54" fillId="0" borderId="0" xfId="0" applyNumberFormat="1" applyFont="1"/>
    <xf numFmtId="170" fontId="54" fillId="0" borderId="0" xfId="0" applyNumberFormat="1" applyFont="1"/>
    <xf numFmtId="166" fontId="30" fillId="5" borderId="5" xfId="0" applyNumberFormat="1" applyFont="1" applyFill="1" applyBorder="1" applyAlignment="1">
      <alignment horizontal="left" vertical="center"/>
    </xf>
    <xf numFmtId="164" fontId="29" fillId="0" borderId="0" xfId="0" applyNumberFormat="1" applyFont="1" applyAlignment="1">
      <alignment horizontal="left"/>
    </xf>
    <xf numFmtId="0" fontId="31" fillId="0" borderId="0" xfId="0" applyFont="1"/>
    <xf numFmtId="3" fontId="29" fillId="5" borderId="1" xfId="0" applyNumberFormat="1" applyFont="1" applyFill="1" applyBorder="1" applyAlignment="1">
      <alignment horizontal="left" vertical="center"/>
    </xf>
    <xf numFmtId="164" fontId="30" fillId="5" borderId="0" xfId="0" applyNumberFormat="1" applyFont="1" applyFill="1" applyAlignment="1">
      <alignment horizontal="left" vertical="center"/>
    </xf>
    <xf numFmtId="164" fontId="30" fillId="5" borderId="3" xfId="0" applyNumberFormat="1" applyFont="1" applyFill="1" applyBorder="1" applyAlignment="1">
      <alignment horizontal="left" vertical="center"/>
    </xf>
    <xf numFmtId="3" fontId="30" fillId="0" borderId="0" xfId="0" applyNumberFormat="1" applyFont="1" applyAlignment="1">
      <alignment horizontal="centerContinuous"/>
    </xf>
    <xf numFmtId="3" fontId="30" fillId="0" borderId="0" xfId="0" applyNumberFormat="1" applyFont="1"/>
    <xf numFmtId="0" fontId="29" fillId="5" borderId="4" xfId="0" applyFont="1" applyFill="1" applyBorder="1" applyAlignment="1">
      <alignment horizontal="right" vertical="center"/>
    </xf>
    <xf numFmtId="4" fontId="30" fillId="5" borderId="0" xfId="0" applyNumberFormat="1" applyFont="1" applyFill="1" applyAlignment="1">
      <alignment horizontal="right" vertical="center"/>
    </xf>
    <xf numFmtId="2" fontId="30" fillId="5" borderId="3" xfId="0" applyNumberFormat="1" applyFont="1" applyFill="1" applyBorder="1" applyAlignment="1">
      <alignment horizontal="right" vertical="center"/>
    </xf>
    <xf numFmtId="0" fontId="13" fillId="0" borderId="0" xfId="0" applyFont="1"/>
    <xf numFmtId="0" fontId="19" fillId="0" borderId="0" xfId="0" applyFont="1" applyAlignment="1">
      <alignment horizontal="right" vertical="center"/>
    </xf>
    <xf numFmtId="0" fontId="56" fillId="0" borderId="0" xfId="0" applyFont="1" applyAlignment="1">
      <alignment horizontal="right"/>
    </xf>
    <xf numFmtId="0" fontId="57" fillId="5" borderId="0" xfId="0" applyFont="1" applyFill="1" applyAlignment="1">
      <alignment horizontal="right" vertical="center"/>
    </xf>
    <xf numFmtId="0" fontId="29" fillId="5" borderId="0" xfId="33" applyFont="1" applyFill="1" applyBorder="1" applyAlignment="1" applyProtection="1">
      <alignment horizontal="left"/>
    </xf>
    <xf numFmtId="164" fontId="19" fillId="0" borderId="0" xfId="0" applyNumberFormat="1" applyFont="1" applyAlignment="1">
      <alignment horizontal="left"/>
    </xf>
    <xf numFmtId="0" fontId="57" fillId="5" borderId="0" xfId="0" applyFont="1" applyFill="1" applyAlignment="1">
      <alignment horizontal="right" vertical="top"/>
    </xf>
    <xf numFmtId="0" fontId="19" fillId="5" borderId="0" xfId="33" applyFont="1" applyFill="1" applyBorder="1" applyAlignment="1" applyProtection="1">
      <alignment horizontal="left"/>
    </xf>
    <xf numFmtId="0" fontId="30" fillId="0" borderId="0" xfId="0" applyFont="1"/>
    <xf numFmtId="3" fontId="19" fillId="0" borderId="0" xfId="0" applyNumberFormat="1" applyFont="1" applyAlignment="1">
      <alignment horizontal="left"/>
    </xf>
    <xf numFmtId="2" fontId="30" fillId="5" borderId="5" xfId="0" applyNumberFormat="1" applyFont="1" applyFill="1" applyBorder="1" applyAlignment="1">
      <alignment horizontal="right" vertical="center"/>
    </xf>
    <xf numFmtId="2" fontId="30" fillId="5" borderId="0" xfId="0" applyNumberFormat="1" applyFont="1" applyFill="1" applyAlignment="1">
      <alignment horizontal="right" vertical="center"/>
    </xf>
    <xf numFmtId="0" fontId="29" fillId="4" borderId="0" xfId="31" applyFont="1" applyFill="1"/>
    <xf numFmtId="0" fontId="30" fillId="5" borderId="0" xfId="0" applyFont="1" applyFill="1"/>
    <xf numFmtId="0" fontId="30" fillId="5" borderId="5" xfId="0" applyFont="1" applyFill="1" applyBorder="1"/>
    <xf numFmtId="4" fontId="30" fillId="5" borderId="5" xfId="0" applyNumberFormat="1" applyFont="1" applyFill="1" applyBorder="1" applyAlignment="1">
      <alignment horizontal="right" vertical="center"/>
    </xf>
    <xf numFmtId="0" fontId="30" fillId="5" borderId="0" xfId="0" applyFont="1" applyFill="1" applyAlignment="1">
      <alignment horizontal="center"/>
    </xf>
    <xf numFmtId="0" fontId="30" fillId="5" borderId="5" xfId="0" applyFont="1" applyFill="1" applyBorder="1" applyAlignment="1">
      <alignment horizontal="center"/>
    </xf>
    <xf numFmtId="2" fontId="61" fillId="13" borderId="5" xfId="0" applyNumberFormat="1" applyFont="1" applyFill="1" applyBorder="1" applyAlignment="1">
      <alignment horizontal="right" vertical="center"/>
    </xf>
    <xf numFmtId="171" fontId="26" fillId="2" borderId="2" xfId="46">
      <alignment horizontal="right" vertical="center"/>
    </xf>
    <xf numFmtId="11" fontId="0" fillId="0" borderId="0" xfId="0" applyNumberFormat="1"/>
    <xf numFmtId="0" fontId="62" fillId="3" borderId="2" xfId="35" applyFont="1" applyAlignment="1">
      <alignment vertical="center"/>
    </xf>
    <xf numFmtId="0" fontId="15" fillId="0" borderId="0" xfId="4" applyAlignment="1">
      <alignment horizontal="center" vertical="center"/>
    </xf>
    <xf numFmtId="0" fontId="15" fillId="0" borderId="0" xfId="4" applyAlignment="1">
      <alignment horizontal="center"/>
    </xf>
    <xf numFmtId="0" fontId="15" fillId="0" borderId="16" xfId="4" applyBorder="1"/>
    <xf numFmtId="0" fontId="16" fillId="0" borderId="16" xfId="16" applyFont="1" applyBorder="1"/>
    <xf numFmtId="2" fontId="16" fillId="0" borderId="16" xfId="16" applyNumberFormat="1" applyFont="1" applyBorder="1"/>
    <xf numFmtId="2" fontId="16" fillId="16" borderId="16" xfId="16" applyNumberFormat="1" applyFont="1" applyFill="1" applyBorder="1" applyAlignment="1">
      <alignment horizontal="center"/>
    </xf>
    <xf numFmtId="2" fontId="16" fillId="0" borderId="16" xfId="16" applyNumberFormat="1" applyFont="1" applyBorder="1" applyAlignment="1">
      <alignment horizontal="center"/>
    </xf>
    <xf numFmtId="1" fontId="63" fillId="0" borderId="16" xfId="16" applyNumberFormat="1" applyFont="1" applyBorder="1"/>
    <xf numFmtId="2" fontId="16" fillId="0" borderId="0" xfId="16" applyNumberFormat="1" applyFont="1" applyAlignment="1">
      <alignment horizontal="center"/>
    </xf>
    <xf numFmtId="1" fontId="63" fillId="0" borderId="0" xfId="16" applyNumberFormat="1" applyFont="1"/>
    <xf numFmtId="0" fontId="64" fillId="0" borderId="0" xfId="0" applyFont="1"/>
    <xf numFmtId="0" fontId="46" fillId="4" borderId="0" xfId="31" applyFont="1" applyFill="1"/>
    <xf numFmtId="0" fontId="65" fillId="0" borderId="0" xfId="0" applyFont="1"/>
    <xf numFmtId="0" fontId="35" fillId="0" borderId="0" xfId="4" applyFont="1" applyAlignment="1">
      <alignment horizontal="center" vertical="center"/>
    </xf>
    <xf numFmtId="0" fontId="35" fillId="17" borderId="0" xfId="4" applyFont="1" applyFill="1" applyAlignment="1">
      <alignment horizontal="center" vertical="center"/>
    </xf>
    <xf numFmtId="0" fontId="66" fillId="18" borderId="0" xfId="0" applyFont="1" applyFill="1"/>
    <xf numFmtId="0" fontId="63" fillId="15" borderId="16" xfId="48" applyFont="1" applyFill="1" applyBorder="1" applyAlignment="1">
      <alignment horizontal="center" vertical="center" wrapText="1"/>
    </xf>
    <xf numFmtId="2" fontId="63" fillId="19" borderId="16" xfId="16" applyNumberFormat="1" applyFont="1" applyFill="1" applyBorder="1" applyAlignment="1">
      <alignment horizontal="center"/>
    </xf>
    <xf numFmtId="2" fontId="16" fillId="15" borderId="16" xfId="16" applyNumberFormat="1" applyFont="1" applyFill="1" applyBorder="1" applyAlignment="1">
      <alignment horizontal="center" vertical="center"/>
    </xf>
    <xf numFmtId="0" fontId="18" fillId="0" borderId="0" xfId="32" applyFont="1" applyAlignment="1">
      <alignment horizontal="left"/>
    </xf>
    <xf numFmtId="0" fontId="67" fillId="0" borderId="0" xfId="0" applyFont="1"/>
    <xf numFmtId="164" fontId="30" fillId="5" borderId="3" xfId="0" applyNumberFormat="1" applyFont="1" applyFill="1" applyBorder="1" applyAlignment="1">
      <alignment horizontal="right" vertical="center"/>
    </xf>
    <xf numFmtId="4" fontId="30" fillId="5" borderId="0" xfId="0" applyNumberFormat="1" applyFont="1" applyFill="1" applyAlignment="1">
      <alignment horizontal="left" vertical="center"/>
    </xf>
    <xf numFmtId="0" fontId="27" fillId="3" borderId="2" xfId="50" applyAlignment="1">
      <alignment vertical="center"/>
    </xf>
    <xf numFmtId="0" fontId="27" fillId="3" borderId="12" xfId="67" applyAlignment="1">
      <alignment vertical="center"/>
    </xf>
    <xf numFmtId="0" fontId="26" fillId="2" borderId="2" xfId="63" quotePrefix="1" applyAlignment="1">
      <alignment horizontal="left" vertical="center"/>
    </xf>
    <xf numFmtId="164" fontId="26" fillId="2" borderId="2" xfId="64">
      <alignment horizontal="right" vertical="center"/>
    </xf>
    <xf numFmtId="3" fontId="26" fillId="2" borderId="2" xfId="56">
      <alignment horizontal="right" vertical="center"/>
    </xf>
    <xf numFmtId="0" fontId="68" fillId="0" borderId="0" xfId="0" applyFont="1"/>
    <xf numFmtId="0" fontId="69" fillId="0" borderId="0" xfId="69" applyFill="1" applyBorder="1" applyProtection="1"/>
    <xf numFmtId="0" fontId="70" fillId="0" borderId="0" xfId="70"/>
    <xf numFmtId="0" fontId="71" fillId="0" borderId="0" xfId="70" applyFont="1"/>
    <xf numFmtId="0" fontId="72" fillId="0" borderId="0" xfId="70" applyFont="1"/>
    <xf numFmtId="0" fontId="73" fillId="0" borderId="0" xfId="70" applyFont="1"/>
    <xf numFmtId="0" fontId="74" fillId="0" borderId="0" xfId="70" applyFont="1"/>
    <xf numFmtId="0" fontId="19" fillId="5" borderId="9" xfId="0" applyFont="1" applyFill="1" applyBorder="1" applyAlignment="1">
      <alignment horizontal="left" vertical="center" indent="1"/>
    </xf>
    <xf numFmtId="0" fontId="13" fillId="0" borderId="0" xfId="0" applyFont="1" applyAlignment="1">
      <alignment wrapText="1"/>
    </xf>
    <xf numFmtId="4" fontId="30" fillId="5" borderId="3" xfId="0" applyNumberFormat="1" applyFont="1" applyFill="1" applyBorder="1" applyAlignment="1">
      <alignment horizontal="right" vertical="center"/>
    </xf>
    <xf numFmtId="0" fontId="17" fillId="0" borderId="0" xfId="0" applyFont="1" applyAlignment="1">
      <alignment vertical="top"/>
    </xf>
    <xf numFmtId="164" fontId="26" fillId="2" borderId="20" xfId="64" applyBorder="1">
      <alignment horizontal="right" vertical="center"/>
    </xf>
    <xf numFmtId="0" fontId="15" fillId="0" borderId="0" xfId="11" applyAlignment="1">
      <alignment vertical="top" wrapText="1"/>
    </xf>
    <xf numFmtId="0" fontId="77" fillId="5" borderId="0" xfId="20" applyFont="1" applyFill="1"/>
    <xf numFmtId="164" fontId="77" fillId="5" borderId="0" xfId="20" applyNumberFormat="1" applyFont="1" applyFill="1"/>
    <xf numFmtId="164" fontId="45" fillId="5" borderId="0" xfId="20" applyNumberFormat="1" applyFont="1" applyFill="1"/>
    <xf numFmtId="164" fontId="45" fillId="5" borderId="0" xfId="20" applyNumberFormat="1" applyFont="1" applyFill="1" applyAlignment="1">
      <alignment horizontal="right"/>
    </xf>
    <xf numFmtId="164" fontId="46" fillId="5" borderId="9" xfId="20" applyNumberFormat="1" applyFont="1" applyFill="1" applyBorder="1"/>
    <xf numFmtId="168" fontId="0" fillId="0" borderId="0" xfId="9" applyNumberFormat="1" applyFont="1"/>
    <xf numFmtId="4" fontId="29" fillId="5" borderId="0" xfId="0" applyNumberFormat="1" applyFont="1" applyFill="1" applyAlignment="1">
      <alignment horizontal="left" vertical="center"/>
    </xf>
    <xf numFmtId="3" fontId="19" fillId="5" borderId="21" xfId="0" applyNumberFormat="1" applyFont="1" applyFill="1" applyBorder="1" applyAlignment="1">
      <alignment horizontal="left" vertical="center"/>
    </xf>
    <xf numFmtId="0" fontId="29" fillId="5" borderId="4" xfId="0" applyFont="1" applyFill="1" applyBorder="1" applyAlignment="1">
      <alignment horizontal="center" vertical="center"/>
    </xf>
    <xf numFmtId="0" fontId="27" fillId="3" borderId="2" xfId="60" applyAlignment="1">
      <alignment horizontal="center"/>
    </xf>
    <xf numFmtId="0" fontId="0" fillId="0" borderId="7" xfId="0" applyBorder="1"/>
    <xf numFmtId="0" fontId="27" fillId="3" borderId="2" xfId="60" quotePrefix="1" applyAlignment="1">
      <alignment horizontal="center"/>
    </xf>
    <xf numFmtId="3" fontId="0" fillId="0" borderId="0" xfId="0" applyNumberFormat="1"/>
    <xf numFmtId="0" fontId="27" fillId="3" borderId="2" xfId="60" quotePrefix="1">
      <alignment horizontal="center" wrapText="1"/>
    </xf>
    <xf numFmtId="0" fontId="0" fillId="17" borderId="0" xfId="0" applyFill="1"/>
    <xf numFmtId="0" fontId="30" fillId="5" borderId="0" xfId="0" applyFont="1" applyFill="1" applyAlignment="1">
      <alignment horizontal="center" vertical="center"/>
    </xf>
    <xf numFmtId="0" fontId="30" fillId="5" borderId="22" xfId="0" applyFont="1" applyFill="1" applyBorder="1" applyAlignment="1">
      <alignment horizontal="center" vertical="center"/>
    </xf>
    <xf numFmtId="164" fontId="26" fillId="20" borderId="2" xfId="64" applyFill="1">
      <alignment horizontal="right" vertical="center"/>
    </xf>
    <xf numFmtId="173" fontId="0" fillId="0" borderId="0" xfId="74" applyNumberFormat="1" applyFont="1"/>
    <xf numFmtId="0" fontId="27" fillId="3" borderId="7" xfId="60" quotePrefix="1" applyBorder="1" applyAlignment="1">
      <alignment horizontal="right"/>
    </xf>
    <xf numFmtId="0" fontId="31" fillId="5" borderId="23" xfId="0" applyFont="1" applyFill="1" applyBorder="1"/>
    <xf numFmtId="3" fontId="30" fillId="5" borderId="23" xfId="0" applyNumberFormat="1" applyFont="1" applyFill="1" applyBorder="1" applyAlignment="1">
      <alignment horizontal="right" wrapText="1"/>
    </xf>
    <xf numFmtId="0" fontId="78" fillId="0" borderId="0" xfId="0" applyFont="1"/>
    <xf numFmtId="168" fontId="78" fillId="0" borderId="0" xfId="9" applyNumberFormat="1" applyFont="1"/>
    <xf numFmtId="10" fontId="78" fillId="0" borderId="0" xfId="9" applyNumberFormat="1" applyFont="1"/>
    <xf numFmtId="166" fontId="78" fillId="0" borderId="0" xfId="0" applyNumberFormat="1" applyFont="1"/>
    <xf numFmtId="0" fontId="27" fillId="3" borderId="2" xfId="60" quotePrefix="1" applyAlignment="1"/>
    <xf numFmtId="0" fontId="27" fillId="3" borderId="7" xfId="60" quotePrefix="1" applyBorder="1" applyAlignment="1"/>
    <xf numFmtId="4" fontId="79"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1" fillId="5" borderId="4" xfId="0" applyFont="1" applyFill="1" applyBorder="1" applyAlignment="1">
      <alignment horizontal="center" vertical="center"/>
    </xf>
    <xf numFmtId="0" fontId="29" fillId="5" borderId="4" xfId="0" applyFont="1" applyFill="1" applyBorder="1" applyAlignment="1">
      <alignment horizontal="center"/>
    </xf>
    <xf numFmtId="2" fontId="80" fillId="0" borderId="0" xfId="0" applyNumberFormat="1" applyFont="1"/>
    <xf numFmtId="2" fontId="79"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6" fillId="21" borderId="2" xfId="82" applyNumberFormat="1" applyFont="1" applyFill="1" applyBorder="1" applyAlignment="1">
      <alignment horizontal="right" vertical="center" wrapText="1"/>
    </xf>
    <xf numFmtId="4" fontId="26" fillId="21" borderId="15" xfId="82" applyNumberFormat="1" applyFont="1" applyFill="1" applyBorder="1" applyAlignment="1">
      <alignment horizontal="right" vertical="center" wrapText="1"/>
    </xf>
    <xf numFmtId="2" fontId="16" fillId="15" borderId="19" xfId="16" applyNumberFormat="1" applyFont="1" applyFill="1" applyBorder="1" applyAlignment="1">
      <alignment horizontal="center"/>
    </xf>
    <xf numFmtId="4" fontId="26" fillId="2" borderId="2" xfId="53" applyAlignment="1">
      <alignment horizontal="right" vertical="center"/>
    </xf>
    <xf numFmtId="0" fontId="27" fillId="3" borderId="2" xfId="36" quotePrefix="1" applyAlignment="1">
      <alignment horizontal="center"/>
    </xf>
    <xf numFmtId="0" fontId="27" fillId="3" borderId="2" xfId="36" applyAlignment="1">
      <alignment horizontal="center"/>
    </xf>
    <xf numFmtId="4" fontId="26" fillId="14" borderId="2" xfId="76" applyAlignment="1">
      <alignment horizontal="right" vertical="center"/>
    </xf>
    <xf numFmtId="4" fontId="48" fillId="7" borderId="2" xfId="79" applyAlignment="1">
      <alignment horizontal="right" vertical="center"/>
    </xf>
    <xf numFmtId="4" fontId="26" fillId="11" borderId="2" xfId="75" applyAlignment="1">
      <alignment horizontal="right" vertical="center"/>
    </xf>
    <xf numFmtId="3" fontId="26" fillId="2" borderId="2" xfId="56" applyAlignment="1">
      <alignment horizontal="right" vertical="center"/>
    </xf>
    <xf numFmtId="164" fontId="26" fillId="2" borderId="2" xfId="64" applyAlignment="1">
      <alignment horizontal="right" vertical="center"/>
    </xf>
    <xf numFmtId="0" fontId="48" fillId="7" borderId="2" xfId="65" quotePrefix="1" applyAlignment="1">
      <alignment horizontal="left" vertical="center"/>
    </xf>
    <xf numFmtId="164" fontId="48" fillId="7" borderId="2" xfId="68" applyAlignment="1">
      <alignment horizontal="right" vertical="center"/>
    </xf>
    <xf numFmtId="171" fontId="26" fillId="2" borderId="2" xfId="46" applyAlignment="1">
      <alignment horizontal="right" vertical="center"/>
    </xf>
    <xf numFmtId="171" fontId="48" fillId="7" borderId="2" xfId="47" applyAlignment="1">
      <alignment horizontal="right" vertical="center"/>
    </xf>
    <xf numFmtId="0" fontId="16" fillId="0" borderId="0" xfId="4" applyFont="1" applyAlignment="1">
      <alignment horizontal="center" vertical="center"/>
    </xf>
    <xf numFmtId="10" fontId="29" fillId="0" borderId="0" xfId="9" applyNumberFormat="1" applyFont="1" applyFill="1" applyBorder="1" applyAlignment="1" applyProtection="1">
      <alignment horizontal="left"/>
    </xf>
    <xf numFmtId="174" fontId="0" fillId="0" borderId="0" xfId="9" applyNumberFormat="1" applyFont="1"/>
    <xf numFmtId="168" fontId="29" fillId="0" borderId="0" xfId="9" applyNumberFormat="1" applyFont="1" applyFill="1" applyBorder="1" applyAlignment="1" applyProtection="1">
      <alignment horizontal="left"/>
    </xf>
    <xf numFmtId="0" fontId="0" fillId="0" borderId="0" xfId="0" applyBorder="1"/>
    <xf numFmtId="0" fontId="27" fillId="3" borderId="2" xfId="60" quotePrefix="1" applyAlignment="1">
      <alignment horizontal="right"/>
    </xf>
    <xf numFmtId="0" fontId="0" fillId="0" borderId="0" xfId="0" applyFill="1"/>
    <xf numFmtId="0" fontId="67" fillId="0" borderId="0" xfId="0" applyFont="1" applyFill="1"/>
    <xf numFmtId="0" fontId="13" fillId="0" borderId="0" xfId="0" applyFont="1" applyBorder="1"/>
    <xf numFmtId="0" fontId="18" fillId="0" borderId="0" xfId="32" applyFont="1" applyBorder="1" applyAlignment="1">
      <alignment horizontal="right"/>
    </xf>
    <xf numFmtId="0" fontId="18" fillId="0" borderId="0" xfId="0" applyFont="1" applyBorder="1" applyAlignment="1">
      <alignment horizontal="right"/>
    </xf>
    <xf numFmtId="164" fontId="29" fillId="0" borderId="0" xfId="0" applyNumberFormat="1" applyFont="1" applyAlignment="1"/>
    <xf numFmtId="4" fontId="26" fillId="21" borderId="15" xfId="84" applyNumberFormat="1" applyFont="1" applyFill="1" applyBorder="1" applyAlignment="1">
      <alignment horizontal="right" vertical="center" wrapText="1"/>
    </xf>
    <xf numFmtId="171" fontId="68" fillId="0" borderId="0" xfId="0" applyNumberFormat="1" applyFont="1"/>
    <xf numFmtId="168" fontId="68"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8" fillId="12" borderId="2" xfId="40" applyAlignment="1">
      <alignment horizontal="right" vertical="center"/>
    </xf>
    <xf numFmtId="4" fontId="26" fillId="2" borderId="20" xfId="53" applyBorder="1" applyAlignment="1">
      <alignment horizontal="right" vertical="center"/>
    </xf>
    <xf numFmtId="170" fontId="26" fillId="7" borderId="2" xfId="43" applyAlignment="1">
      <alignment horizontal="right" vertical="center"/>
    </xf>
    <xf numFmtId="164" fontId="26" fillId="7" borderId="2" xfId="44" applyAlignment="1">
      <alignment horizontal="right" vertical="center"/>
    </xf>
    <xf numFmtId="4" fontId="26" fillId="7" borderId="2" xfId="42" applyAlignment="1">
      <alignment horizontal="right" vertical="center"/>
    </xf>
    <xf numFmtId="4" fontId="26" fillId="0" borderId="2" xfId="42" applyFill="1" applyAlignment="1">
      <alignment horizontal="right" vertical="center"/>
    </xf>
    <xf numFmtId="4" fontId="26" fillId="7" borderId="2" xfId="83">
      <alignment horizontal="right" vertical="center"/>
    </xf>
    <xf numFmtId="4" fontId="26" fillId="2" borderId="2" xfId="86" applyAlignment="1">
      <alignment horizontal="right" vertical="center"/>
    </xf>
    <xf numFmtId="0" fontId="26" fillId="7" borderId="2" xfId="63" quotePrefix="1" applyFill="1" applyAlignment="1">
      <alignment horizontal="left" vertical="center"/>
    </xf>
    <xf numFmtId="170" fontId="82" fillId="22" borderId="15" xfId="0" applyNumberFormat="1" applyFont="1" applyFill="1" applyBorder="1" applyAlignment="1">
      <alignment horizontal="right" vertical="center" wrapText="1"/>
    </xf>
    <xf numFmtId="4" fontId="82" fillId="21" borderId="15" xfId="0" applyNumberFormat="1" applyFont="1" applyFill="1" applyBorder="1" applyAlignment="1">
      <alignment horizontal="right" vertical="center" wrapText="1"/>
    </xf>
    <xf numFmtId="164" fontId="82" fillId="22" borderId="15" xfId="0" applyNumberFormat="1" applyFont="1" applyFill="1" applyBorder="1" applyAlignment="1">
      <alignment horizontal="right" vertical="center" wrapText="1"/>
    </xf>
    <xf numFmtId="4" fontId="82" fillId="21" borderId="2" xfId="0" applyNumberFormat="1" applyFont="1" applyFill="1" applyBorder="1" applyAlignment="1">
      <alignment horizontal="right" vertical="center" wrapText="1"/>
    </xf>
    <xf numFmtId="0" fontId="27" fillId="3" borderId="2" xfId="60" quotePrefix="1" applyAlignment="1">
      <alignment horizontal="center"/>
    </xf>
    <xf numFmtId="170" fontId="26" fillId="22" borderId="2" xfId="0" applyNumberFormat="1" applyFont="1" applyFill="1" applyBorder="1" applyAlignment="1">
      <alignment horizontal="right" vertical="center" wrapText="1"/>
    </xf>
    <xf numFmtId="164" fontId="26" fillId="22" borderId="2" xfId="0" applyNumberFormat="1" applyFont="1" applyFill="1" applyBorder="1" applyAlignment="1">
      <alignment horizontal="right" vertical="center" wrapText="1"/>
    </xf>
    <xf numFmtId="4" fontId="26" fillId="21" borderId="2" xfId="0" applyNumberFormat="1" applyFont="1" applyFill="1" applyBorder="1" applyAlignment="1">
      <alignment horizontal="right" vertical="center" wrapText="1"/>
    </xf>
    <xf numFmtId="164" fontId="29" fillId="0" borderId="0" xfId="0" applyNumberFormat="1" applyFont="1" applyAlignment="1">
      <alignment horizontal="left" vertical="top" wrapText="1"/>
    </xf>
    <xf numFmtId="0" fontId="19" fillId="0" borderId="0" xfId="0" applyFont="1" applyAlignment="1">
      <alignment horizontal="left" vertical="top" wrapText="1"/>
    </xf>
    <xf numFmtId="0" fontId="18" fillId="0" borderId="0" xfId="8" applyFont="1" applyAlignment="1">
      <alignment horizontal="right"/>
    </xf>
    <xf numFmtId="0" fontId="18" fillId="0" borderId="0" xfId="0" applyFont="1" applyAlignment="1">
      <alignment horizontal="right"/>
    </xf>
    <xf numFmtId="0" fontId="17" fillId="0" borderId="0" xfId="0" applyFont="1" applyAlignment="1">
      <alignment horizontal="left" vertical="top" wrapText="1"/>
    </xf>
    <xf numFmtId="0" fontId="27" fillId="3" borderId="2" xfId="60" quotePrefix="1" applyAlignment="1">
      <alignment horizontal="center"/>
    </xf>
    <xf numFmtId="0" fontId="0" fillId="0" borderId="7" xfId="0" applyBorder="1" applyAlignment="1">
      <alignment horizontal="center"/>
    </xf>
    <xf numFmtId="0" fontId="27" fillId="3" borderId="11" xfId="60" quotePrefix="1" applyBorder="1" applyAlignment="1">
      <alignment horizontal="center"/>
    </xf>
    <xf numFmtId="0" fontId="0" fillId="0" borderId="10" xfId="0" applyBorder="1" applyAlignment="1">
      <alignment horizontal="center"/>
    </xf>
    <xf numFmtId="0" fontId="26"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6" fillId="2" borderId="13" xfId="63" quotePrefix="1" applyBorder="1" applyAlignment="1">
      <alignment horizontal="left" vertical="center"/>
    </xf>
    <xf numFmtId="0" fontId="27" fillId="3" borderId="24" xfId="60" quotePrefix="1" applyBorder="1" applyAlignment="1">
      <alignment horizontal="center"/>
    </xf>
    <xf numFmtId="0" fontId="0" fillId="0" borderId="25" xfId="0" applyBorder="1" applyAlignment="1">
      <alignment horizontal="center"/>
    </xf>
    <xf numFmtId="3" fontId="29" fillId="5" borderId="6" xfId="0" applyNumberFormat="1" applyFont="1" applyFill="1" applyBorder="1" applyAlignment="1">
      <alignment horizontal="right" wrapText="1"/>
    </xf>
    <xf numFmtId="3" fontId="29" fillId="5" borderId="5" xfId="0" applyNumberFormat="1" applyFont="1" applyFill="1" applyBorder="1" applyAlignment="1">
      <alignment horizontal="right" wrapText="1"/>
    </xf>
    <xf numFmtId="3" fontId="29" fillId="5" borderId="6" xfId="0" applyNumberFormat="1" applyFont="1" applyFill="1" applyBorder="1" applyAlignment="1">
      <alignment horizontal="center" vertical="center" wrapText="1"/>
    </xf>
    <xf numFmtId="3" fontId="29" fillId="5" borderId="5" xfId="0" applyNumberFormat="1" applyFont="1" applyFill="1" applyBorder="1" applyAlignment="1">
      <alignment horizontal="center" vertical="center" wrapText="1"/>
    </xf>
    <xf numFmtId="0" fontId="27" fillId="3" borderId="11" xfId="60" applyBorder="1" applyAlignment="1">
      <alignment horizontal="center"/>
    </xf>
    <xf numFmtId="169" fontId="26" fillId="2" borderId="13" xfId="66" quotePrefix="1" applyBorder="1" applyAlignment="1">
      <alignment horizontal="left" vertical="center"/>
    </xf>
    <xf numFmtId="169" fontId="26" fillId="2" borderId="14" xfId="66" quotePrefix="1" applyBorder="1" applyAlignment="1">
      <alignment horizontal="left" vertical="center"/>
    </xf>
    <xf numFmtId="0" fontId="35" fillId="0" borderId="0" xfId="4" applyFont="1" applyAlignment="1">
      <alignment horizontal="center" vertical="center"/>
    </xf>
    <xf numFmtId="2" fontId="16" fillId="15" borderId="17" xfId="16" applyNumberFormat="1" applyFont="1" applyFill="1" applyBorder="1" applyAlignment="1">
      <alignment horizontal="center"/>
    </xf>
    <xf numFmtId="2" fontId="16" fillId="15" borderId="18" xfId="16" applyNumberFormat="1" applyFont="1" applyFill="1" applyBorder="1" applyAlignment="1">
      <alignment horizontal="center"/>
    </xf>
    <xf numFmtId="2" fontId="16" fillId="15" borderId="19" xfId="16" applyNumberFormat="1" applyFont="1" applyFill="1" applyBorder="1" applyAlignment="1">
      <alignment horizontal="center"/>
    </xf>
  </cellXfs>
  <cellStyles count="88">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CC99"/>
      <color rgb="FF28A064"/>
      <color rgb="FF99FFCC"/>
      <color rgb="FF464394"/>
      <color rgb="FF46438C"/>
      <color rgb="FF9A5CBC"/>
      <color rgb="FFFF99CC"/>
      <color rgb="FF9999FF"/>
      <color rgb="FF6600CC"/>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Dat_01!$AB$8:$AB$37</c:f>
              <c:numCache>
                <c:formatCode>#,##0.00</c:formatCode>
                <c:ptCount val="30"/>
                <c:pt idx="0">
                  <c:v>141.74</c:v>
                </c:pt>
                <c:pt idx="1">
                  <c:v>138</c:v>
                </c:pt>
                <c:pt idx="2">
                  <c:v>133.94999999999999</c:v>
                </c:pt>
                <c:pt idx="3">
                  <c:v>127.42</c:v>
                </c:pt>
                <c:pt idx="4">
                  <c:v>134</c:v>
                </c:pt>
                <c:pt idx="5">
                  <c:v>118.2</c:v>
                </c:pt>
                <c:pt idx="6">
                  <c:v>148.56</c:v>
                </c:pt>
                <c:pt idx="7">
                  <c:v>120.86</c:v>
                </c:pt>
                <c:pt idx="8">
                  <c:v>132</c:v>
                </c:pt>
                <c:pt idx="9">
                  <c:v>114.59</c:v>
                </c:pt>
                <c:pt idx="10">
                  <c:v>113</c:v>
                </c:pt>
                <c:pt idx="11">
                  <c:v>116.37</c:v>
                </c:pt>
                <c:pt idx="12">
                  <c:v>89.98</c:v>
                </c:pt>
                <c:pt idx="13">
                  <c:v>106.85</c:v>
                </c:pt>
                <c:pt idx="14">
                  <c:v>65.08</c:v>
                </c:pt>
                <c:pt idx="15">
                  <c:v>88.4</c:v>
                </c:pt>
                <c:pt idx="16">
                  <c:v>93.52</c:v>
                </c:pt>
                <c:pt idx="17">
                  <c:v>148.26</c:v>
                </c:pt>
                <c:pt idx="18">
                  <c:v>155.01</c:v>
                </c:pt>
                <c:pt idx="19">
                  <c:v>146.97</c:v>
                </c:pt>
                <c:pt idx="20">
                  <c:v>133.02000000000001</c:v>
                </c:pt>
                <c:pt idx="21">
                  <c:v>114.53</c:v>
                </c:pt>
                <c:pt idx="22">
                  <c:v>157.66</c:v>
                </c:pt>
                <c:pt idx="23">
                  <c:v>140</c:v>
                </c:pt>
                <c:pt idx="24">
                  <c:v>92.4</c:v>
                </c:pt>
                <c:pt idx="25">
                  <c:v>72.5</c:v>
                </c:pt>
                <c:pt idx="26">
                  <c:v>109.83</c:v>
                </c:pt>
                <c:pt idx="27">
                  <c:v>120.11</c:v>
                </c:pt>
                <c:pt idx="28">
                  <c:v>101.89</c:v>
                </c:pt>
                <c:pt idx="29">
                  <c:v>176.21</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28.98</c:v>
                </c:pt>
                <c:pt idx="1">
                  <c:v>89.87</c:v>
                </c:pt>
                <c:pt idx="2">
                  <c:v>83.08</c:v>
                </c:pt>
                <c:pt idx="3">
                  <c:v>51.99</c:v>
                </c:pt>
                <c:pt idx="4">
                  <c:v>81.180000000000007</c:v>
                </c:pt>
                <c:pt idx="5">
                  <c:v>19.559999999999999</c:v>
                </c:pt>
                <c:pt idx="6">
                  <c:v>0.44</c:v>
                </c:pt>
                <c:pt idx="7">
                  <c:v>0</c:v>
                </c:pt>
                <c:pt idx="8">
                  <c:v>6.12</c:v>
                </c:pt>
                <c:pt idx="9">
                  <c:v>3.04</c:v>
                </c:pt>
                <c:pt idx="10">
                  <c:v>15</c:v>
                </c:pt>
                <c:pt idx="11">
                  <c:v>3.32</c:v>
                </c:pt>
                <c:pt idx="12">
                  <c:v>0</c:v>
                </c:pt>
                <c:pt idx="13">
                  <c:v>0.44</c:v>
                </c:pt>
                <c:pt idx="14">
                  <c:v>-0.36</c:v>
                </c:pt>
                <c:pt idx="15">
                  <c:v>0</c:v>
                </c:pt>
                <c:pt idx="16">
                  <c:v>0</c:v>
                </c:pt>
                <c:pt idx="17">
                  <c:v>56.47</c:v>
                </c:pt>
                <c:pt idx="18">
                  <c:v>88</c:v>
                </c:pt>
                <c:pt idx="19">
                  <c:v>72.849999999999994</c:v>
                </c:pt>
                <c:pt idx="20">
                  <c:v>3.32</c:v>
                </c:pt>
                <c:pt idx="21">
                  <c:v>0.01</c:v>
                </c:pt>
                <c:pt idx="22">
                  <c:v>20.5</c:v>
                </c:pt>
                <c:pt idx="23">
                  <c:v>57.31</c:v>
                </c:pt>
                <c:pt idx="24">
                  <c:v>14</c:v>
                </c:pt>
                <c:pt idx="25">
                  <c:v>0</c:v>
                </c:pt>
                <c:pt idx="26">
                  <c:v>-0.15</c:v>
                </c:pt>
                <c:pt idx="27">
                  <c:v>0</c:v>
                </c:pt>
                <c:pt idx="28">
                  <c:v>-0.79</c:v>
                </c:pt>
                <c:pt idx="29">
                  <c:v>2.4</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94.303161784400004</c:v>
                </c:pt>
                <c:pt idx="1">
                  <c:v>114.70884616390001</c:v>
                </c:pt>
                <c:pt idx="2">
                  <c:v>106.5718377761</c:v>
                </c:pt>
                <c:pt idx="3">
                  <c:v>91.973987371199996</c:v>
                </c:pt>
                <c:pt idx="4">
                  <c:v>102.8393731804</c:v>
                </c:pt>
                <c:pt idx="5">
                  <c:v>81.0513069653</c:v>
                </c:pt>
                <c:pt idx="6">
                  <c:v>69.103655295099998</c:v>
                </c:pt>
                <c:pt idx="7">
                  <c:v>57.118961263700001</c:v>
                </c:pt>
                <c:pt idx="8">
                  <c:v>77.480119989499997</c:v>
                </c:pt>
                <c:pt idx="9">
                  <c:v>64.6477227707</c:v>
                </c:pt>
                <c:pt idx="10">
                  <c:v>70.849828254200006</c:v>
                </c:pt>
                <c:pt idx="11">
                  <c:v>62.358194423599997</c:v>
                </c:pt>
                <c:pt idx="12">
                  <c:v>39.002143453099997</c:v>
                </c:pt>
                <c:pt idx="13">
                  <c:v>40.294737305799998</c:v>
                </c:pt>
                <c:pt idx="14">
                  <c:v>28.615425099100001</c:v>
                </c:pt>
                <c:pt idx="15">
                  <c:v>24.643110063999998</c:v>
                </c:pt>
                <c:pt idx="16">
                  <c:v>23.785884064699999</c:v>
                </c:pt>
                <c:pt idx="17">
                  <c:v>89.154149682099998</c:v>
                </c:pt>
                <c:pt idx="18">
                  <c:v>107.0274546213</c:v>
                </c:pt>
                <c:pt idx="19">
                  <c:v>106.7418636319</c:v>
                </c:pt>
                <c:pt idx="20">
                  <c:v>80.745514748700003</c:v>
                </c:pt>
                <c:pt idx="21">
                  <c:v>61.881389650899997</c:v>
                </c:pt>
                <c:pt idx="22">
                  <c:v>85.419092968000001</c:v>
                </c:pt>
                <c:pt idx="23">
                  <c:v>93.421434693999998</c:v>
                </c:pt>
                <c:pt idx="24">
                  <c:v>54.008067793899997</c:v>
                </c:pt>
                <c:pt idx="25">
                  <c:v>23.684119647799999</c:v>
                </c:pt>
                <c:pt idx="26">
                  <c:v>22.203835649199998</c:v>
                </c:pt>
                <c:pt idx="27">
                  <c:v>39.478293868500003</c:v>
                </c:pt>
                <c:pt idx="28">
                  <c:v>37.485427031599997</c:v>
                </c:pt>
                <c:pt idx="29">
                  <c:v>79.1495773579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822.96006944445003</c:v>
                </c:pt>
                <c:pt idx="1">
                  <c:v>823.74899328859999</c:v>
                </c:pt>
                <c:pt idx="2">
                  <c:v>822.11944444444998</c:v>
                </c:pt>
                <c:pt idx="3">
                  <c:v>822.55241935485003</c:v>
                </c:pt>
                <c:pt idx="4">
                  <c:v>823.64112903224998</c:v>
                </c:pt>
                <c:pt idx="5">
                  <c:v>823.20258620690004</c:v>
                </c:pt>
                <c:pt idx="6">
                  <c:v>821.91823687752503</c:v>
                </c:pt>
                <c:pt idx="7">
                  <c:v>825.41666666667504</c:v>
                </c:pt>
                <c:pt idx="8">
                  <c:v>863.35450268817499</c:v>
                </c:pt>
                <c:pt idx="9">
                  <c:v>912.17291666667495</c:v>
                </c:pt>
                <c:pt idx="10">
                  <c:v>897.59307795699999</c:v>
                </c:pt>
                <c:pt idx="11">
                  <c:v>897.21471774192503</c:v>
                </c:pt>
                <c:pt idx="12">
                  <c:v>906.32291666667504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Dat_01!$B$192:$N$192</c:f>
              <c:numCache>
                <c:formatCode>#,##0;\(#,##0\)</c:formatCode>
                <c:ptCount val="13"/>
                <c:pt idx="0">
                  <c:v>160.777525</c:v>
                </c:pt>
                <c:pt idx="1">
                  <c:v>195.65067500000001</c:v>
                </c:pt>
                <c:pt idx="2">
                  <c:v>230.77799999999999</c:v>
                </c:pt>
                <c:pt idx="3">
                  <c:v>216.30930000000001</c:v>
                </c:pt>
                <c:pt idx="4">
                  <c:v>222.36382499999999</c:v>
                </c:pt>
                <c:pt idx="5">
                  <c:v>246.44477499999999</c:v>
                </c:pt>
                <c:pt idx="6">
                  <c:v>265.50565</c:v>
                </c:pt>
                <c:pt idx="7">
                  <c:v>253.72047499999999</c:v>
                </c:pt>
                <c:pt idx="8">
                  <c:v>255.9136</c:v>
                </c:pt>
                <c:pt idx="9">
                  <c:v>200.79612499999999</c:v>
                </c:pt>
                <c:pt idx="10">
                  <c:v>219.31675000000001</c:v>
                </c:pt>
                <c:pt idx="11">
                  <c:v>174.548475</c:v>
                </c:pt>
                <c:pt idx="12">
                  <c:v>172.08167499999999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Septiembre</c:v>
                </c:pt>
                <c:pt idx="1">
                  <c:v>2023 Octubre</c:v>
                </c:pt>
                <c:pt idx="2">
                  <c:v>2023 Noviembre</c:v>
                </c:pt>
                <c:pt idx="3">
                  <c:v>2023 Diciembre</c:v>
                </c:pt>
                <c:pt idx="4">
                  <c:v>2024 Enero</c:v>
                </c:pt>
                <c:pt idx="5">
                  <c:v>2024 Febrero</c:v>
                </c:pt>
                <c:pt idx="6">
                  <c:v>2024 Marzo</c:v>
                </c:pt>
                <c:pt idx="7">
                  <c:v>2024 Abril</c:v>
                </c:pt>
                <c:pt idx="8">
                  <c:v>2024 Mayo</c:v>
                </c:pt>
                <c:pt idx="9">
                  <c:v>2024 Junio</c:v>
                </c:pt>
                <c:pt idx="10">
                  <c:v>2024 Julio</c:v>
                </c:pt>
                <c:pt idx="11">
                  <c:v>2024 Agosto</c:v>
                </c:pt>
                <c:pt idx="12">
                  <c:v>2024 Septiembre</c:v>
                </c:pt>
              </c:strCache>
            </c:strRef>
          </c:cat>
          <c:val>
            <c:numRef>
              <c:f>Dat_01!$C$414:$O$414</c:f>
              <c:numCache>
                <c:formatCode>#,##0.00</c:formatCode>
                <c:ptCount val="13"/>
                <c:pt idx="0">
                  <c:v>115.7818378377</c:v>
                </c:pt>
                <c:pt idx="1">
                  <c:v>100.7681475224</c:v>
                </c:pt>
                <c:pt idx="2">
                  <c:v>80.643993401700001</c:v>
                </c:pt>
                <c:pt idx="3">
                  <c:v>89.965627123999994</c:v>
                </c:pt>
                <c:pt idx="4">
                  <c:v>87.041140710500002</c:v>
                </c:pt>
                <c:pt idx="5">
                  <c:v>49.255281875999998</c:v>
                </c:pt>
                <c:pt idx="6">
                  <c:v>25.498564616199999</c:v>
                </c:pt>
                <c:pt idx="7">
                  <c:v>23.263243803999998</c:v>
                </c:pt>
                <c:pt idx="8">
                  <c:v>51.878559897800002</c:v>
                </c:pt>
                <c:pt idx="9">
                  <c:v>79.512672150699998</c:v>
                </c:pt>
                <c:pt idx="10">
                  <c:v>86.649319574299994</c:v>
                </c:pt>
                <c:pt idx="11">
                  <c:v>102.8039265768</c:v>
                </c:pt>
                <c:pt idx="12">
                  <c:v>88.768818947499994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Dat_01!$B$191:$N$191</c:f>
              <c:numCache>
                <c:formatCode>#,##0;\(#,##0\)</c:formatCode>
                <c:ptCount val="13"/>
                <c:pt idx="0">
                  <c:v>162.49619999999999</c:v>
                </c:pt>
                <c:pt idx="1">
                  <c:v>143.82445000000001</c:v>
                </c:pt>
                <c:pt idx="2">
                  <c:v>114.87354999999999</c:v>
                </c:pt>
                <c:pt idx="3">
                  <c:v>125.279425</c:v>
                </c:pt>
                <c:pt idx="4">
                  <c:v>128.19069999999999</c:v>
                </c:pt>
                <c:pt idx="5">
                  <c:v>110.41272499999999</c:v>
                </c:pt>
                <c:pt idx="6">
                  <c:v>137.99905000000001</c:v>
                </c:pt>
                <c:pt idx="7">
                  <c:v>142.64092500000001</c:v>
                </c:pt>
                <c:pt idx="8">
                  <c:v>129.96244999999999</c:v>
                </c:pt>
                <c:pt idx="9">
                  <c:v>140.64422500000001</c:v>
                </c:pt>
                <c:pt idx="10">
                  <c:v>145.18279999999999</c:v>
                </c:pt>
                <c:pt idx="11">
                  <c:v>180.042475</c:v>
                </c:pt>
                <c:pt idx="12">
                  <c:v>165.537925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70.620135029300002</c:v>
                </c:pt>
                <c:pt idx="1">
                  <c:v>61.346168994599999</c:v>
                </c:pt>
                <c:pt idx="2">
                  <c:v>30.819612238800001</c:v>
                </c:pt>
                <c:pt idx="3">
                  <c:v>43.072149949999996</c:v>
                </c:pt>
                <c:pt idx="4">
                  <c:v>41.148505531200001</c:v>
                </c:pt>
                <c:pt idx="5">
                  <c:v>12.454618358099999</c:v>
                </c:pt>
                <c:pt idx="6">
                  <c:v>6.3259059483</c:v>
                </c:pt>
                <c:pt idx="7">
                  <c:v>-82.978499038799995</c:v>
                </c:pt>
                <c:pt idx="8">
                  <c:v>8.8440810864999992</c:v>
                </c:pt>
                <c:pt idx="9">
                  <c:v>25.188011158999998</c:v>
                </c:pt>
                <c:pt idx="10">
                  <c:v>46.176107250699999</c:v>
                </c:pt>
                <c:pt idx="11">
                  <c:v>52.021473464800003</c:v>
                </c:pt>
                <c:pt idx="12">
                  <c:v>33.235310798100002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Dat_01!$C$218:$O$218</c:f>
              <c:numCache>
                <c:formatCode>#,##0.0</c:formatCode>
                <c:ptCount val="13"/>
                <c:pt idx="0">
                  <c:v>1345.508</c:v>
                </c:pt>
                <c:pt idx="1">
                  <c:v>964.4</c:v>
                </c:pt>
                <c:pt idx="2">
                  <c:v>1675.4749999999999</c:v>
                </c:pt>
                <c:pt idx="3">
                  <c:v>1291.7750000000001</c:v>
                </c:pt>
                <c:pt idx="4">
                  <c:v>673.35</c:v>
                </c:pt>
                <c:pt idx="5">
                  <c:v>128.25</c:v>
                </c:pt>
                <c:pt idx="6">
                  <c:v>205.75</c:v>
                </c:pt>
                <c:pt idx="7">
                  <c:v>108.416</c:v>
                </c:pt>
                <c:pt idx="8">
                  <c:v>0</c:v>
                </c:pt>
                <c:pt idx="9">
                  <c:v>28.875</c:v>
                </c:pt>
                <c:pt idx="10">
                  <c:v>43.225000000000001</c:v>
                </c:pt>
                <c:pt idx="11">
                  <c:v>24.35</c:v>
                </c:pt>
                <c:pt idx="12">
                  <c:v>50.225000000000001</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Dat_01!$C$219:$O$219</c:f>
              <c:numCache>
                <c:formatCode>#,##0.0</c:formatCode>
                <c:ptCount val="13"/>
                <c:pt idx="0">
                  <c:v>50563.017999999996</c:v>
                </c:pt>
                <c:pt idx="1">
                  <c:v>22845.582999999999</c:v>
                </c:pt>
                <c:pt idx="2">
                  <c:v>28385.493999999999</c:v>
                </c:pt>
                <c:pt idx="3">
                  <c:v>26696.399000000001</c:v>
                </c:pt>
                <c:pt idx="4">
                  <c:v>45550.095000000001</c:v>
                </c:pt>
                <c:pt idx="5">
                  <c:v>15727.6</c:v>
                </c:pt>
                <c:pt idx="6">
                  <c:v>18188.05</c:v>
                </c:pt>
                <c:pt idx="7">
                  <c:v>7771.009</c:v>
                </c:pt>
                <c:pt idx="8">
                  <c:v>5794.3</c:v>
                </c:pt>
                <c:pt idx="9">
                  <c:v>17066.666000000001</c:v>
                </c:pt>
                <c:pt idx="10">
                  <c:v>18884.698</c:v>
                </c:pt>
                <c:pt idx="11">
                  <c:v>30465.23</c:v>
                </c:pt>
                <c:pt idx="12">
                  <c:v>26552.251</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Dat_01!$C$220:$O$220</c:f>
              <c:numCache>
                <c:formatCode>#,##0.0</c:formatCode>
                <c:ptCount val="13"/>
                <c:pt idx="0">
                  <c:v>49</c:v>
                </c:pt>
                <c:pt idx="1">
                  <c:v>47.774999999999999</c:v>
                </c:pt>
                <c:pt idx="2">
                  <c:v>112.05</c:v>
                </c:pt>
                <c:pt idx="3">
                  <c:v>169.083</c:v>
                </c:pt>
                <c:pt idx="4">
                  <c:v>276.35000000000002</c:v>
                </c:pt>
                <c:pt idx="5">
                  <c:v>583.46299999999997</c:v>
                </c:pt>
                <c:pt idx="6">
                  <c:v>527.45699999999999</c:v>
                </c:pt>
                <c:pt idx="7">
                  <c:v>557.76400000000001</c:v>
                </c:pt>
                <c:pt idx="8">
                  <c:v>686.75300000000004</c:v>
                </c:pt>
                <c:pt idx="9">
                  <c:v>663.923</c:v>
                </c:pt>
                <c:pt idx="10">
                  <c:v>535.89800000000002</c:v>
                </c:pt>
                <c:pt idx="11">
                  <c:v>464.19200000000001</c:v>
                </c:pt>
                <c:pt idx="12">
                  <c:v>423.447</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Dat_01!$C$221:$O$221</c:f>
              <c:numCache>
                <c:formatCode>#,##0.0</c:formatCode>
                <c:ptCount val="13"/>
                <c:pt idx="0">
                  <c:v>74303.001000000004</c:v>
                </c:pt>
                <c:pt idx="1">
                  <c:v>50475.258000000002</c:v>
                </c:pt>
                <c:pt idx="2">
                  <c:v>57681.133000000002</c:v>
                </c:pt>
                <c:pt idx="3">
                  <c:v>43871.908000000003</c:v>
                </c:pt>
                <c:pt idx="4">
                  <c:v>79325.524999999994</c:v>
                </c:pt>
                <c:pt idx="5">
                  <c:v>82022.430999999997</c:v>
                </c:pt>
                <c:pt idx="6">
                  <c:v>45802.294000000002</c:v>
                </c:pt>
                <c:pt idx="7">
                  <c:v>40764.557000000001</c:v>
                </c:pt>
                <c:pt idx="8">
                  <c:v>48624.482000000004</c:v>
                </c:pt>
                <c:pt idx="9">
                  <c:v>41321.692000000003</c:v>
                </c:pt>
                <c:pt idx="10">
                  <c:v>25771.183000000001</c:v>
                </c:pt>
                <c:pt idx="11">
                  <c:v>38344.226999999999</c:v>
                </c:pt>
                <c:pt idx="12">
                  <c:v>45577.822999999997</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Dat_01!$C$223:$O$223</c:f>
              <c:numCache>
                <c:formatCode>#,##0.0</c:formatCode>
                <c:ptCount val="13"/>
                <c:pt idx="0">
                  <c:v>34150.357000000004</c:v>
                </c:pt>
                <c:pt idx="1">
                  <c:v>49132.629000000001</c:v>
                </c:pt>
                <c:pt idx="2">
                  <c:v>57832.260999999999</c:v>
                </c:pt>
                <c:pt idx="3">
                  <c:v>33826.737999999998</c:v>
                </c:pt>
                <c:pt idx="4">
                  <c:v>42752.623</c:v>
                </c:pt>
                <c:pt idx="5">
                  <c:v>74658.864000000001</c:v>
                </c:pt>
                <c:pt idx="6">
                  <c:v>81347.735000000001</c:v>
                </c:pt>
                <c:pt idx="7">
                  <c:v>132414.59400000001</c:v>
                </c:pt>
                <c:pt idx="8">
                  <c:v>77983.278000000006</c:v>
                </c:pt>
                <c:pt idx="9">
                  <c:v>42036.362000000001</c:v>
                </c:pt>
                <c:pt idx="10">
                  <c:v>28492.343000000001</c:v>
                </c:pt>
                <c:pt idx="11">
                  <c:v>34129.855000000003</c:v>
                </c:pt>
                <c:pt idx="12">
                  <c:v>73676.551000000007</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Dat_01!$C$226:$O$226</c:f>
              <c:numCache>
                <c:formatCode>#,##0.0</c:formatCode>
                <c:ptCount val="13"/>
                <c:pt idx="0">
                  <c:v>24005.525000000001</c:v>
                </c:pt>
                <c:pt idx="1">
                  <c:v>20329.391</c:v>
                </c:pt>
                <c:pt idx="2">
                  <c:v>31092.688999999998</c:v>
                </c:pt>
                <c:pt idx="3">
                  <c:v>30780.378000000001</c:v>
                </c:pt>
                <c:pt idx="4">
                  <c:v>26953.973000000002</c:v>
                </c:pt>
                <c:pt idx="5">
                  <c:v>55885.535000000003</c:v>
                </c:pt>
                <c:pt idx="6">
                  <c:v>38845.872000000003</c:v>
                </c:pt>
                <c:pt idx="7">
                  <c:v>39903.578000000001</c:v>
                </c:pt>
                <c:pt idx="8">
                  <c:v>23028.602999999999</c:v>
                </c:pt>
                <c:pt idx="9">
                  <c:v>24414.344000000001</c:v>
                </c:pt>
                <c:pt idx="10">
                  <c:v>18123.583999999999</c:v>
                </c:pt>
                <c:pt idx="11">
                  <c:v>20826.226999999999</c:v>
                </c:pt>
                <c:pt idx="12">
                  <c:v>23009.672999999999</c:v>
                </c:pt>
              </c:numCache>
            </c:numRef>
          </c:val>
          <c:extLst>
            <c:ext xmlns:c16="http://schemas.microsoft.com/office/drawing/2014/chart" uri="{C3380CC4-5D6E-409C-BE32-E72D297353CC}">
              <c16:uniqueId val="{00000005-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Dat_01!$C$229:$O$229</c:f>
              <c:numCache>
                <c:formatCode>#,##0.0</c:formatCode>
                <c:ptCount val="13"/>
                <c:pt idx="0">
                  <c:v>791.75</c:v>
                </c:pt>
                <c:pt idx="1">
                  <c:v>212.72499999999999</c:v>
                </c:pt>
                <c:pt idx="2">
                  <c:v>423.67500000000001</c:v>
                </c:pt>
                <c:pt idx="3">
                  <c:v>259.75</c:v>
                </c:pt>
                <c:pt idx="4">
                  <c:v>125.625</c:v>
                </c:pt>
                <c:pt idx="5">
                  <c:v>733.57500000000005</c:v>
                </c:pt>
                <c:pt idx="6">
                  <c:v>296.55</c:v>
                </c:pt>
                <c:pt idx="7">
                  <c:v>772.65</c:v>
                </c:pt>
                <c:pt idx="8">
                  <c:v>418.625</c:v>
                </c:pt>
                <c:pt idx="9">
                  <c:v>350.47500000000002</c:v>
                </c:pt>
                <c:pt idx="10">
                  <c:v>226.30799999999999</c:v>
                </c:pt>
                <c:pt idx="11">
                  <c:v>0.4</c:v>
                </c:pt>
                <c:pt idx="12">
                  <c:v>140</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Dat_01!$C$230:$O$230</c:f>
              <c:numCache>
                <c:formatCode>#,##0.0</c:formatCode>
                <c:ptCount val="13"/>
                <c:pt idx="0">
                  <c:v>160.27500000000001</c:v>
                </c:pt>
                <c:pt idx="1">
                  <c:v>38.5</c:v>
                </c:pt>
                <c:pt idx="2">
                  <c:v>64.5</c:v>
                </c:pt>
                <c:pt idx="3">
                  <c:v>35</c:v>
                </c:pt>
                <c:pt idx="4">
                  <c:v>150.25</c:v>
                </c:pt>
                <c:pt idx="5">
                  <c:v>91.974999999999994</c:v>
                </c:pt>
                <c:pt idx="6">
                  <c:v>52.85</c:v>
                </c:pt>
                <c:pt idx="7">
                  <c:v>256.20800000000003</c:v>
                </c:pt>
                <c:pt idx="8">
                  <c:v>154.42500000000001</c:v>
                </c:pt>
                <c:pt idx="9">
                  <c:v>130.041</c:v>
                </c:pt>
                <c:pt idx="10">
                  <c:v>54.158000000000001</c:v>
                </c:pt>
                <c:pt idx="11">
                  <c:v>122.11</c:v>
                </c:pt>
                <c:pt idx="12">
                  <c:v>266.00099999999998</c:v>
                </c:pt>
              </c:numCache>
            </c:numRef>
          </c:val>
          <c:extLst>
            <c:ext xmlns:c16="http://schemas.microsoft.com/office/drawing/2014/chart" uri="{C3380CC4-5D6E-409C-BE32-E72D297353CC}">
              <c16:uniqueId val="{00000007-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Dat_01!$C$232:$O$232</c:f>
              <c:numCache>
                <c:formatCode>#,##0.0</c:formatCode>
                <c:ptCount val="13"/>
                <c:pt idx="0">
                  <c:v>11766.108</c:v>
                </c:pt>
                <c:pt idx="1">
                  <c:v>17232.379000000001</c:v>
                </c:pt>
                <c:pt idx="2">
                  <c:v>18121.277999999998</c:v>
                </c:pt>
                <c:pt idx="3">
                  <c:v>12513.415000000001</c:v>
                </c:pt>
                <c:pt idx="4">
                  <c:v>18925.839</c:v>
                </c:pt>
                <c:pt idx="5">
                  <c:v>27726.135999999999</c:v>
                </c:pt>
                <c:pt idx="6">
                  <c:v>35845.794000000002</c:v>
                </c:pt>
                <c:pt idx="7">
                  <c:v>57108.222000000002</c:v>
                </c:pt>
                <c:pt idx="8">
                  <c:v>74394.532000000007</c:v>
                </c:pt>
                <c:pt idx="9">
                  <c:v>44510.667000000001</c:v>
                </c:pt>
                <c:pt idx="10">
                  <c:v>33083.256999999998</c:v>
                </c:pt>
                <c:pt idx="11">
                  <c:v>23626.941999999999</c:v>
                </c:pt>
                <c:pt idx="12">
                  <c:v>44275.593999999997</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Dat_01!$C$233:$O$233</c:f>
              <c:numCache>
                <c:formatCode>#,##0.0</c:formatCode>
                <c:ptCount val="13"/>
                <c:pt idx="0">
                  <c:v>299.95</c:v>
                </c:pt>
                <c:pt idx="1">
                  <c:v>91.15</c:v>
                </c:pt>
                <c:pt idx="2">
                  <c:v>19.725000000000001</c:v>
                </c:pt>
                <c:pt idx="3">
                  <c:v>4.05</c:v>
                </c:pt>
                <c:pt idx="4">
                  <c:v>33.4</c:v>
                </c:pt>
                <c:pt idx="5">
                  <c:v>243</c:v>
                </c:pt>
                <c:pt idx="6">
                  <c:v>166.25</c:v>
                </c:pt>
                <c:pt idx="7">
                  <c:v>913.05</c:v>
                </c:pt>
                <c:pt idx="8">
                  <c:v>447.3</c:v>
                </c:pt>
                <c:pt idx="9">
                  <c:v>258.75</c:v>
                </c:pt>
                <c:pt idx="10">
                  <c:v>95.025000000000006</c:v>
                </c:pt>
                <c:pt idx="11">
                  <c:v>300.3</c:v>
                </c:pt>
                <c:pt idx="12">
                  <c:v>851.55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Dat_01!$C$234:$O$234</c:f>
              <c:numCache>
                <c:formatCode>#,##0.0</c:formatCode>
                <c:ptCount val="13"/>
                <c:pt idx="0">
                  <c:v>19108.924999999999</c:v>
                </c:pt>
                <c:pt idx="1">
                  <c:v>28366.325000000001</c:v>
                </c:pt>
                <c:pt idx="2">
                  <c:v>32908.824999999997</c:v>
                </c:pt>
                <c:pt idx="3">
                  <c:v>13991.525</c:v>
                </c:pt>
                <c:pt idx="4">
                  <c:v>16698.8</c:v>
                </c:pt>
                <c:pt idx="5">
                  <c:v>23769.14</c:v>
                </c:pt>
                <c:pt idx="6">
                  <c:v>22715.875</c:v>
                </c:pt>
                <c:pt idx="7">
                  <c:v>23154.973999999998</c:v>
                </c:pt>
                <c:pt idx="8">
                  <c:v>27594.224999999999</c:v>
                </c:pt>
                <c:pt idx="9">
                  <c:v>16767.825000000001</c:v>
                </c:pt>
                <c:pt idx="10">
                  <c:v>8009.9250000000002</c:v>
                </c:pt>
                <c:pt idx="11">
                  <c:v>8058.9750000000004</c:v>
                </c:pt>
                <c:pt idx="12">
                  <c:v>17383.25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Dat_01!$C$228:$O$228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Dat_01!$B$231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Dat_01!$C$231:$O$231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51.570766712100003</c:v>
                </c:pt>
                <c:pt idx="1">
                  <c:v>37.481090010800003</c:v>
                </c:pt>
                <c:pt idx="2">
                  <c:v>24.376215575900002</c:v>
                </c:pt>
                <c:pt idx="3">
                  <c:v>29.107989569000001</c:v>
                </c:pt>
                <c:pt idx="4">
                  <c:v>20.3539588262</c:v>
                </c:pt>
                <c:pt idx="5">
                  <c:v>7.2868159629999996</c:v>
                </c:pt>
                <c:pt idx="6">
                  <c:v>-5.5617885725000002</c:v>
                </c:pt>
                <c:pt idx="7">
                  <c:v>-52.450720009299999</c:v>
                </c:pt>
                <c:pt idx="8">
                  <c:v>-2.1895631825000001</c:v>
                </c:pt>
                <c:pt idx="9">
                  <c:v>15.1893099732</c:v>
                </c:pt>
                <c:pt idx="10">
                  <c:v>22.072287538600001</c:v>
                </c:pt>
                <c:pt idx="11">
                  <c:v>35.264518477099998</c:v>
                </c:pt>
                <c:pt idx="12">
                  <c:v>14.2514126045</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Dat_01!$C$199:$O$199</c:f>
              <c:numCache>
                <c:formatCode>#,##0.0</c:formatCode>
                <c:ptCount val="13"/>
                <c:pt idx="0">
                  <c:v>1098.8820000000001</c:v>
                </c:pt>
                <c:pt idx="1">
                  <c:v>2715.0320000000002</c:v>
                </c:pt>
                <c:pt idx="2">
                  <c:v>172.11699999999999</c:v>
                </c:pt>
                <c:pt idx="3">
                  <c:v>377.1</c:v>
                </c:pt>
                <c:pt idx="4">
                  <c:v>523.65</c:v>
                </c:pt>
                <c:pt idx="5">
                  <c:v>13</c:v>
                </c:pt>
                <c:pt idx="6">
                  <c:v>1.25</c:v>
                </c:pt>
                <c:pt idx="7">
                  <c:v>58.75</c:v>
                </c:pt>
                <c:pt idx="8">
                  <c:v>46.674999999999997</c:v>
                </c:pt>
                <c:pt idx="9">
                  <c:v>56.25</c:v>
                </c:pt>
                <c:pt idx="10">
                  <c:v>537</c:v>
                </c:pt>
                <c:pt idx="11">
                  <c:v>17.5</c:v>
                </c:pt>
                <c:pt idx="12">
                  <c:v>275.2</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Dat_01!$C$200:$O$200</c:f>
              <c:numCache>
                <c:formatCode>#,##0.0</c:formatCode>
                <c:ptCount val="13"/>
                <c:pt idx="0">
                  <c:v>67978.899999999994</c:v>
                </c:pt>
                <c:pt idx="1">
                  <c:v>75984.498999999996</c:v>
                </c:pt>
                <c:pt idx="2">
                  <c:v>43840.328000000001</c:v>
                </c:pt>
                <c:pt idx="3">
                  <c:v>79511.115999999995</c:v>
                </c:pt>
                <c:pt idx="4">
                  <c:v>48869.214</c:v>
                </c:pt>
                <c:pt idx="5">
                  <c:v>24120.724999999999</c:v>
                </c:pt>
                <c:pt idx="6">
                  <c:v>10498.975</c:v>
                </c:pt>
                <c:pt idx="7">
                  <c:v>9874.8809999999994</c:v>
                </c:pt>
                <c:pt idx="8">
                  <c:v>37388.398000000001</c:v>
                </c:pt>
                <c:pt idx="9">
                  <c:v>61515.864999999998</c:v>
                </c:pt>
                <c:pt idx="10">
                  <c:v>117733.28599999999</c:v>
                </c:pt>
                <c:pt idx="11">
                  <c:v>108037.599</c:v>
                </c:pt>
                <c:pt idx="12">
                  <c:v>71329.876000000004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Dat_01!$C$201:$O$201</c:f>
              <c:numCache>
                <c:formatCode>#,##0.0</c:formatCode>
                <c:ptCount val="13"/>
                <c:pt idx="0">
                  <c:v>0.25</c:v>
                </c:pt>
                <c:pt idx="1">
                  <c:v>16.5</c:v>
                </c:pt>
                <c:pt idx="2">
                  <c:v>7.5</c:v>
                </c:pt>
                <c:pt idx="3">
                  <c:v>46.674999999999997</c:v>
                </c:pt>
                <c:pt idx="4">
                  <c:v>27.507999999999999</c:v>
                </c:pt>
                <c:pt idx="5">
                  <c:v>20.75</c:v>
                </c:pt>
                <c:pt idx="6">
                  <c:v>6.95</c:v>
                </c:pt>
                <c:pt idx="7">
                  <c:v>13.074999999999999</c:v>
                </c:pt>
                <c:pt idx="8">
                  <c:v>5.15</c:v>
                </c:pt>
                <c:pt idx="9">
                  <c:v>28.95</c:v>
                </c:pt>
                <c:pt idx="10">
                  <c:v>6.75</c:v>
                </c:pt>
                <c:pt idx="11">
                  <c:v>23.632999999999999</c:v>
                </c:pt>
                <c:pt idx="12">
                  <c:v>8.4250000000000007</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Dat_01!$C$202:$O$202</c:f>
              <c:numCache>
                <c:formatCode>#,##0.0</c:formatCode>
                <c:ptCount val="13"/>
                <c:pt idx="0">
                  <c:v>23304.2</c:v>
                </c:pt>
                <c:pt idx="1">
                  <c:v>29926.75</c:v>
                </c:pt>
                <c:pt idx="2">
                  <c:v>24632.583999999999</c:v>
                </c:pt>
                <c:pt idx="3">
                  <c:v>32172.6</c:v>
                </c:pt>
                <c:pt idx="4">
                  <c:v>16987.325000000001</c:v>
                </c:pt>
                <c:pt idx="5">
                  <c:v>19195.691999999999</c:v>
                </c:pt>
                <c:pt idx="6">
                  <c:v>26103.108</c:v>
                </c:pt>
                <c:pt idx="7">
                  <c:v>14422.1</c:v>
                </c:pt>
                <c:pt idx="8">
                  <c:v>24589.24</c:v>
                </c:pt>
                <c:pt idx="9">
                  <c:v>35192.391000000003</c:v>
                </c:pt>
                <c:pt idx="10">
                  <c:v>33501.832999999999</c:v>
                </c:pt>
                <c:pt idx="11">
                  <c:v>27203.424999999999</c:v>
                </c:pt>
                <c:pt idx="12">
                  <c:v>25004.131000000001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Dat_01!$C$204:$O$204</c:f>
              <c:numCache>
                <c:formatCode>#,##0.0</c:formatCode>
                <c:ptCount val="13"/>
                <c:pt idx="0">
                  <c:v>10673.95</c:v>
                </c:pt>
                <c:pt idx="1">
                  <c:v>18741.87</c:v>
                </c:pt>
                <c:pt idx="2">
                  <c:v>28628.29</c:v>
                </c:pt>
                <c:pt idx="3">
                  <c:v>15961.084999999999</c:v>
                </c:pt>
                <c:pt idx="4">
                  <c:v>8593.4660000000003</c:v>
                </c:pt>
                <c:pt idx="5">
                  <c:v>21041.275000000001</c:v>
                </c:pt>
                <c:pt idx="6">
                  <c:v>89456.368000000002</c:v>
                </c:pt>
                <c:pt idx="7">
                  <c:v>32837.114000000001</c:v>
                </c:pt>
                <c:pt idx="8">
                  <c:v>18793.464</c:v>
                </c:pt>
                <c:pt idx="9">
                  <c:v>19769.831999999999</c:v>
                </c:pt>
                <c:pt idx="10">
                  <c:v>27242.550999999999</c:v>
                </c:pt>
                <c:pt idx="11">
                  <c:v>18314.178</c:v>
                </c:pt>
                <c:pt idx="12">
                  <c:v>14389.375</c:v>
                </c:pt>
              </c:numCache>
            </c:numRef>
          </c:val>
          <c:extLst>
            <c:ext xmlns:c16="http://schemas.microsoft.com/office/drawing/2014/chart" uri="{C3380CC4-5D6E-409C-BE32-E72D297353CC}">
              <c16:uniqueId val="{00000004-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Dat_01!$C$207:$O$207</c:f>
              <c:numCache>
                <c:formatCode>#,##0.0</c:formatCode>
                <c:ptCount val="13"/>
                <c:pt idx="0">
                  <c:v>16895.894</c:v>
                </c:pt>
                <c:pt idx="1">
                  <c:v>32145.415000000001</c:v>
                </c:pt>
                <c:pt idx="2">
                  <c:v>14889.19</c:v>
                </c:pt>
                <c:pt idx="3">
                  <c:v>56456.754000000001</c:v>
                </c:pt>
                <c:pt idx="4">
                  <c:v>26383.8</c:v>
                </c:pt>
                <c:pt idx="5">
                  <c:v>33224.966</c:v>
                </c:pt>
                <c:pt idx="6">
                  <c:v>37741.302000000003</c:v>
                </c:pt>
                <c:pt idx="7">
                  <c:v>32447.29</c:v>
                </c:pt>
                <c:pt idx="8">
                  <c:v>34258.17</c:v>
                </c:pt>
                <c:pt idx="9">
                  <c:v>52189.11</c:v>
                </c:pt>
                <c:pt idx="10">
                  <c:v>44286.06</c:v>
                </c:pt>
                <c:pt idx="11">
                  <c:v>45614.728999999999</c:v>
                </c:pt>
                <c:pt idx="12">
                  <c:v>21337.156999999999</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Dat_01!$C$210:$O$210</c:f>
              <c:numCache>
                <c:formatCode>#,##0.0</c:formatCode>
                <c:ptCount val="13"/>
                <c:pt idx="0">
                  <c:v>188.6</c:v>
                </c:pt>
                <c:pt idx="1">
                  <c:v>710.65</c:v>
                </c:pt>
                <c:pt idx="2">
                  <c:v>70.150000000000006</c:v>
                </c:pt>
                <c:pt idx="3">
                  <c:v>0</c:v>
                </c:pt>
                <c:pt idx="4">
                  <c:v>129.17500000000001</c:v>
                </c:pt>
                <c:pt idx="5">
                  <c:v>111.22499999999999</c:v>
                </c:pt>
                <c:pt idx="6">
                  <c:v>321.82499999999999</c:v>
                </c:pt>
                <c:pt idx="7">
                  <c:v>10.275</c:v>
                </c:pt>
                <c:pt idx="8">
                  <c:v>318.7</c:v>
                </c:pt>
                <c:pt idx="9">
                  <c:v>7.2</c:v>
                </c:pt>
                <c:pt idx="10">
                  <c:v>522.85</c:v>
                </c:pt>
                <c:pt idx="11">
                  <c:v>0</c:v>
                </c:pt>
                <c:pt idx="12">
                  <c:v>0</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Dat_01!$C$211:$O$211</c:f>
              <c:numCache>
                <c:formatCode>#,##0.0</c:formatCode>
                <c:ptCount val="13"/>
                <c:pt idx="0">
                  <c:v>32.700000000000003</c:v>
                </c:pt>
                <c:pt idx="1">
                  <c:v>39.9</c:v>
                </c:pt>
                <c:pt idx="2">
                  <c:v>31.25</c:v>
                </c:pt>
                <c:pt idx="3">
                  <c:v>3.25</c:v>
                </c:pt>
                <c:pt idx="4">
                  <c:v>1.5</c:v>
                </c:pt>
                <c:pt idx="5">
                  <c:v>9</c:v>
                </c:pt>
                <c:pt idx="6">
                  <c:v>0</c:v>
                </c:pt>
                <c:pt idx="7">
                  <c:v>14</c:v>
                </c:pt>
                <c:pt idx="8">
                  <c:v>0</c:v>
                </c:pt>
                <c:pt idx="9">
                  <c:v>9</c:v>
                </c:pt>
                <c:pt idx="10">
                  <c:v>60.5</c:v>
                </c:pt>
                <c:pt idx="11">
                  <c:v>299.625</c:v>
                </c:pt>
                <c:pt idx="12">
                  <c:v>284.55</c:v>
                </c:pt>
              </c:numCache>
            </c:numRef>
          </c:val>
          <c:extLst>
            <c:ext xmlns:c16="http://schemas.microsoft.com/office/drawing/2014/chart" uri="{C3380CC4-5D6E-409C-BE32-E72D297353CC}">
              <c16:uniqueId val="{00000007-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Dat_01!$C$213:$O$213</c:f>
              <c:numCache>
                <c:formatCode>#,##0.0</c:formatCode>
                <c:ptCount val="13"/>
                <c:pt idx="0">
                  <c:v>2616.3249999999998</c:v>
                </c:pt>
                <c:pt idx="1">
                  <c:v>2928.1329999999998</c:v>
                </c:pt>
                <c:pt idx="2">
                  <c:v>3231.232</c:v>
                </c:pt>
                <c:pt idx="3">
                  <c:v>3449.06</c:v>
                </c:pt>
                <c:pt idx="4">
                  <c:v>1107.758</c:v>
                </c:pt>
                <c:pt idx="5">
                  <c:v>3404.7750000000001</c:v>
                </c:pt>
                <c:pt idx="6">
                  <c:v>8775.15</c:v>
                </c:pt>
                <c:pt idx="7">
                  <c:v>17245.624</c:v>
                </c:pt>
                <c:pt idx="8">
                  <c:v>12342.802</c:v>
                </c:pt>
                <c:pt idx="9">
                  <c:v>5942.2259999999997</c:v>
                </c:pt>
                <c:pt idx="10">
                  <c:v>11715.717000000001</c:v>
                </c:pt>
                <c:pt idx="11">
                  <c:v>6043.3620000000001</c:v>
                </c:pt>
                <c:pt idx="12">
                  <c:v>3037.88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Dat_01!$C$214:$O$214</c:f>
              <c:numCache>
                <c:formatCode>#,##0.0</c:formatCode>
                <c:ptCount val="13"/>
                <c:pt idx="0">
                  <c:v>77.25</c:v>
                </c:pt>
                <c:pt idx="1">
                  <c:v>55.25</c:v>
                </c:pt>
                <c:pt idx="2">
                  <c:v>0.75</c:v>
                </c:pt>
                <c:pt idx="3">
                  <c:v>1</c:v>
                </c:pt>
                <c:pt idx="4">
                  <c:v>1</c:v>
                </c:pt>
                <c:pt idx="5">
                  <c:v>3.75</c:v>
                </c:pt>
                <c:pt idx="6">
                  <c:v>4</c:v>
                </c:pt>
                <c:pt idx="7">
                  <c:v>61.174999999999997</c:v>
                </c:pt>
                <c:pt idx="8">
                  <c:v>10.925000000000001</c:v>
                </c:pt>
                <c:pt idx="9">
                  <c:v>17.5</c:v>
                </c:pt>
                <c:pt idx="10">
                  <c:v>0</c:v>
                </c:pt>
                <c:pt idx="11">
                  <c:v>42.45</c:v>
                </c:pt>
                <c:pt idx="12">
                  <c:v>35.475000000000001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Dat_01!$C$215:$O$215</c:f>
              <c:numCache>
                <c:formatCode>#,##0.0</c:formatCode>
                <c:ptCount val="13"/>
                <c:pt idx="0">
                  <c:v>25361.951000000001</c:v>
                </c:pt>
                <c:pt idx="1">
                  <c:v>30795.542000000001</c:v>
                </c:pt>
                <c:pt idx="2">
                  <c:v>26664.945</c:v>
                </c:pt>
                <c:pt idx="3">
                  <c:v>30839.05</c:v>
                </c:pt>
                <c:pt idx="4">
                  <c:v>28037.621999999999</c:v>
                </c:pt>
                <c:pt idx="5">
                  <c:v>23687.084999999999</c:v>
                </c:pt>
                <c:pt idx="6">
                  <c:v>23564.596000000001</c:v>
                </c:pt>
                <c:pt idx="7">
                  <c:v>17764.125</c:v>
                </c:pt>
                <c:pt idx="8">
                  <c:v>41513.373</c:v>
                </c:pt>
                <c:pt idx="9">
                  <c:v>26517.401000000002</c:v>
                </c:pt>
                <c:pt idx="10">
                  <c:v>25433.624</c:v>
                </c:pt>
                <c:pt idx="11">
                  <c:v>17591.724999999999</c:v>
                </c:pt>
                <c:pt idx="12">
                  <c:v>23246.357</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Dat_01!$B$209</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Dat_01!$C$209:$O$209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Dat_01!$B$212</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Dat_01!$C$416:$O$416</c:f>
              <c:numCache>
                <c:formatCode>#,##0.00</c:formatCode>
                <c:ptCount val="13"/>
                <c:pt idx="0">
                  <c:v>126.5209824362</c:v>
                </c:pt>
                <c:pt idx="1">
                  <c:v>115.6965534019</c:v>
                </c:pt>
                <c:pt idx="2">
                  <c:v>75.769234619800002</c:v>
                </c:pt>
                <c:pt idx="3">
                  <c:v>95.5795926049</c:v>
                </c:pt>
                <c:pt idx="4">
                  <c:v>96.015566196199998</c:v>
                </c:pt>
                <c:pt idx="5">
                  <c:v>58.407531980800002</c:v>
                </c:pt>
                <c:pt idx="6">
                  <c:v>23.9411482786</c:v>
                </c:pt>
                <c:pt idx="7">
                  <c:v>32.900009541700001</c:v>
                </c:pt>
                <c:pt idx="8">
                  <c:v>64.074680799000006</c:v>
                </c:pt>
                <c:pt idx="9">
                  <c:v>93.701156764000004</c:v>
                </c:pt>
                <c:pt idx="10">
                  <c:v>97.325009448100005</c:v>
                </c:pt>
                <c:pt idx="11">
                  <c:v>114.6892769159</c:v>
                </c:pt>
                <c:pt idx="12">
                  <c:v>106.6717990865</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1320</c:v>
                </c:pt>
                <c:pt idx="1">
                  <c:v>1091.5999999999999</c:v>
                </c:pt>
                <c:pt idx="2">
                  <c:v>2086.9</c:v>
                </c:pt>
                <c:pt idx="3">
                  <c:v>494</c:v>
                </c:pt>
                <c:pt idx="4">
                  <c:v>948.3</c:v>
                </c:pt>
                <c:pt idx="5">
                  <c:v>134</c:v>
                </c:pt>
                <c:pt idx="6">
                  <c:v>42</c:v>
                </c:pt>
                <c:pt idx="7">
                  <c:v>26.25</c:v>
                </c:pt>
                <c:pt idx="8">
                  <c:v>0</c:v>
                </c:pt>
                <c:pt idx="9">
                  <c:v>41.5</c:v>
                </c:pt>
                <c:pt idx="10">
                  <c:v>412.6</c:v>
                </c:pt>
                <c:pt idx="11">
                  <c:v>381</c:v>
                </c:pt>
                <c:pt idx="12">
                  <c:v>406</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26201.875</c:v>
                </c:pt>
                <c:pt idx="1">
                  <c:v>16369.1</c:v>
                </c:pt>
                <c:pt idx="2">
                  <c:v>15113</c:v>
                </c:pt>
                <c:pt idx="3">
                  <c:v>17543.650000000001</c:v>
                </c:pt>
                <c:pt idx="4">
                  <c:v>36176.574999999997</c:v>
                </c:pt>
                <c:pt idx="5">
                  <c:v>13518.35</c:v>
                </c:pt>
                <c:pt idx="6">
                  <c:v>16244.174999999999</c:v>
                </c:pt>
                <c:pt idx="7">
                  <c:v>6901.2250000000004</c:v>
                </c:pt>
                <c:pt idx="8">
                  <c:v>6791.0749999999998</c:v>
                </c:pt>
                <c:pt idx="9">
                  <c:v>13289.825000000001</c:v>
                </c:pt>
                <c:pt idx="10">
                  <c:v>16226.75</c:v>
                </c:pt>
                <c:pt idx="11">
                  <c:v>19143.775000000001</c:v>
                </c:pt>
                <c:pt idx="12">
                  <c:v>23707.275000000001</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114.97499999999999</c:v>
                </c:pt>
                <c:pt idx="1">
                  <c:v>103.875</c:v>
                </c:pt>
                <c:pt idx="2">
                  <c:v>225.75</c:v>
                </c:pt>
                <c:pt idx="3">
                  <c:v>436.35</c:v>
                </c:pt>
                <c:pt idx="4">
                  <c:v>388.92500000000001</c:v>
                </c:pt>
                <c:pt idx="5">
                  <c:v>410.17500000000001</c:v>
                </c:pt>
                <c:pt idx="6">
                  <c:v>626.47500000000002</c:v>
                </c:pt>
                <c:pt idx="7">
                  <c:v>35.6</c:v>
                </c:pt>
                <c:pt idx="8">
                  <c:v>60.15</c:v>
                </c:pt>
                <c:pt idx="9">
                  <c:v>142.65</c:v>
                </c:pt>
                <c:pt idx="10">
                  <c:v>350.52499999999998</c:v>
                </c:pt>
                <c:pt idx="11">
                  <c:v>574.29999999999995</c:v>
                </c:pt>
                <c:pt idx="12">
                  <c:v>336.55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52169.95</c:v>
                </c:pt>
                <c:pt idx="1">
                  <c:v>39371.699999999997</c:v>
                </c:pt>
                <c:pt idx="2">
                  <c:v>49033.5</c:v>
                </c:pt>
                <c:pt idx="3">
                  <c:v>44328</c:v>
                </c:pt>
                <c:pt idx="4">
                  <c:v>84350</c:v>
                </c:pt>
                <c:pt idx="5">
                  <c:v>81179.25</c:v>
                </c:pt>
                <c:pt idx="6">
                  <c:v>71805.25</c:v>
                </c:pt>
                <c:pt idx="7">
                  <c:v>89298.5</c:v>
                </c:pt>
                <c:pt idx="8">
                  <c:v>45527.15</c:v>
                </c:pt>
                <c:pt idx="9">
                  <c:v>45937.275000000001</c:v>
                </c:pt>
                <c:pt idx="10">
                  <c:v>43872.800000000003</c:v>
                </c:pt>
                <c:pt idx="11">
                  <c:v>85489</c:v>
                </c:pt>
                <c:pt idx="12">
                  <c:v>57096.4</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62410.574999999997</c:v>
                </c:pt>
                <c:pt idx="1">
                  <c:v>65624.175000000003</c:v>
                </c:pt>
                <c:pt idx="2">
                  <c:v>83287.225000000006</c:v>
                </c:pt>
                <c:pt idx="3">
                  <c:v>51868</c:v>
                </c:pt>
                <c:pt idx="4">
                  <c:v>90254.85</c:v>
                </c:pt>
                <c:pt idx="5">
                  <c:v>121318.77499999999</c:v>
                </c:pt>
                <c:pt idx="6">
                  <c:v>135496.625</c:v>
                </c:pt>
                <c:pt idx="7">
                  <c:v>230270.27499999999</c:v>
                </c:pt>
                <c:pt idx="8">
                  <c:v>120354.125</c:v>
                </c:pt>
                <c:pt idx="9">
                  <c:v>92592.25</c:v>
                </c:pt>
                <c:pt idx="10">
                  <c:v>91542.55</c:v>
                </c:pt>
                <c:pt idx="11">
                  <c:v>130294.325</c:v>
                </c:pt>
                <c:pt idx="12">
                  <c:v>162821.57500000001</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19581.95</c:v>
                </c:pt>
                <c:pt idx="1">
                  <c:v>15878.2</c:v>
                </c:pt>
                <c:pt idx="2">
                  <c:v>31392.5</c:v>
                </c:pt>
                <c:pt idx="3">
                  <c:v>33738.425000000003</c:v>
                </c:pt>
                <c:pt idx="4">
                  <c:v>35013.025000000001</c:v>
                </c:pt>
                <c:pt idx="5">
                  <c:v>54346.8</c:v>
                </c:pt>
                <c:pt idx="6">
                  <c:v>56838.45</c:v>
                </c:pt>
                <c:pt idx="7">
                  <c:v>58545.275000000001</c:v>
                </c:pt>
                <c:pt idx="8">
                  <c:v>22738.424999999999</c:v>
                </c:pt>
                <c:pt idx="9">
                  <c:v>25203.9</c:v>
                </c:pt>
                <c:pt idx="10">
                  <c:v>22661.65</c:v>
                </c:pt>
                <c:pt idx="11">
                  <c:v>24531.674999999999</c:v>
                </c:pt>
                <c:pt idx="12">
                  <c:v>29122.674999999999</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749.72500000000002</c:v>
                </c:pt>
                <c:pt idx="1">
                  <c:v>732.15</c:v>
                </c:pt>
                <c:pt idx="2">
                  <c:v>350.375</c:v>
                </c:pt>
                <c:pt idx="3">
                  <c:v>24</c:v>
                </c:pt>
                <c:pt idx="4">
                  <c:v>218</c:v>
                </c:pt>
                <c:pt idx="5">
                  <c:v>1231.425</c:v>
                </c:pt>
                <c:pt idx="6">
                  <c:v>851.5</c:v>
                </c:pt>
                <c:pt idx="7">
                  <c:v>264.10000000000002</c:v>
                </c:pt>
                <c:pt idx="8">
                  <c:v>495.25</c:v>
                </c:pt>
                <c:pt idx="9">
                  <c:v>140</c:v>
                </c:pt>
                <c:pt idx="10">
                  <c:v>787.42499999999995</c:v>
                </c:pt>
                <c:pt idx="11">
                  <c:v>137</c:v>
                </c:pt>
                <c:pt idx="12">
                  <c:v>120</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79.5</c:v>
                </c:pt>
                <c:pt idx="1">
                  <c:v>7.75</c:v>
                </c:pt>
                <c:pt idx="2">
                  <c:v>84.5</c:v>
                </c:pt>
                <c:pt idx="3">
                  <c:v>178.25</c:v>
                </c:pt>
                <c:pt idx="4">
                  <c:v>283.75</c:v>
                </c:pt>
                <c:pt idx="5">
                  <c:v>148</c:v>
                </c:pt>
                <c:pt idx="6">
                  <c:v>8</c:v>
                </c:pt>
                <c:pt idx="7">
                  <c:v>70.75</c:v>
                </c:pt>
                <c:pt idx="8">
                  <c:v>177.25</c:v>
                </c:pt>
                <c:pt idx="9">
                  <c:v>47.75</c:v>
                </c:pt>
                <c:pt idx="10">
                  <c:v>81.75</c:v>
                </c:pt>
                <c:pt idx="11">
                  <c:v>152.5</c:v>
                </c:pt>
                <c:pt idx="12">
                  <c:v>335.75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15213.95</c:v>
                </c:pt>
                <c:pt idx="1">
                  <c:v>20634.674999999999</c:v>
                </c:pt>
                <c:pt idx="2">
                  <c:v>12135.55</c:v>
                </c:pt>
                <c:pt idx="3">
                  <c:v>10381.85</c:v>
                </c:pt>
                <c:pt idx="4">
                  <c:v>10047.9</c:v>
                </c:pt>
                <c:pt idx="5">
                  <c:v>36033.974999999999</c:v>
                </c:pt>
                <c:pt idx="6">
                  <c:v>47776.1</c:v>
                </c:pt>
                <c:pt idx="7">
                  <c:v>108573.3</c:v>
                </c:pt>
                <c:pt idx="8">
                  <c:v>105239.4</c:v>
                </c:pt>
                <c:pt idx="9">
                  <c:v>73395.25</c:v>
                </c:pt>
                <c:pt idx="10">
                  <c:v>57932.775000000001</c:v>
                </c:pt>
                <c:pt idx="11">
                  <c:v>56016.35</c:v>
                </c:pt>
                <c:pt idx="12">
                  <c:v>54552.375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0</c:v>
                </c:pt>
                <c:pt idx="2">
                  <c:v>4</c:v>
                </c:pt>
                <c:pt idx="3">
                  <c:v>0</c:v>
                </c:pt>
                <c:pt idx="4">
                  <c:v>0</c:v>
                </c:pt>
                <c:pt idx="5">
                  <c:v>0</c:v>
                </c:pt>
                <c:pt idx="6">
                  <c:v>2</c:v>
                </c:pt>
                <c:pt idx="7">
                  <c:v>0</c:v>
                </c:pt>
                <c:pt idx="8">
                  <c:v>164.75</c:v>
                </c:pt>
                <c:pt idx="9">
                  <c:v>10.55</c:v>
                </c:pt>
                <c:pt idx="10">
                  <c:v>0</c:v>
                </c:pt>
                <c:pt idx="11">
                  <c:v>1854.825</c:v>
                </c:pt>
                <c:pt idx="12">
                  <c:v>7491.5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17984.525000000001</c:v>
                </c:pt>
                <c:pt idx="1">
                  <c:v>22496.1</c:v>
                </c:pt>
                <c:pt idx="2">
                  <c:v>28067.275000000001</c:v>
                </c:pt>
                <c:pt idx="3">
                  <c:v>16037.9</c:v>
                </c:pt>
                <c:pt idx="4">
                  <c:v>25499.974999999999</c:v>
                </c:pt>
                <c:pt idx="5">
                  <c:v>26530.275000000001</c:v>
                </c:pt>
                <c:pt idx="6">
                  <c:v>32165.775000000001</c:v>
                </c:pt>
                <c:pt idx="7">
                  <c:v>34483.775000000001</c:v>
                </c:pt>
                <c:pt idx="8">
                  <c:v>24725.375</c:v>
                </c:pt>
                <c:pt idx="9">
                  <c:v>21775.599999999999</c:v>
                </c:pt>
                <c:pt idx="10">
                  <c:v>16501.599999999999</c:v>
                </c:pt>
                <c:pt idx="11">
                  <c:v>17942.75</c:v>
                </c:pt>
                <c:pt idx="12">
                  <c:v>24462.5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58.8299594</c:v>
                </c:pt>
                <c:pt idx="1">
                  <c:v>44.197735484399999</c:v>
                </c:pt>
                <c:pt idx="2">
                  <c:v>36.370437152000001</c:v>
                </c:pt>
                <c:pt idx="3">
                  <c:v>38.265524095400004</c:v>
                </c:pt>
                <c:pt idx="4">
                  <c:v>32.455270508300003</c:v>
                </c:pt>
                <c:pt idx="5">
                  <c:v>13.559000728199999</c:v>
                </c:pt>
                <c:pt idx="6">
                  <c:v>5.6187015046999997</c:v>
                </c:pt>
                <c:pt idx="7">
                  <c:v>-22.445101460299998</c:v>
                </c:pt>
                <c:pt idx="8">
                  <c:v>0.64371816849999997</c:v>
                </c:pt>
                <c:pt idx="9">
                  <c:v>8.7326280057000005</c:v>
                </c:pt>
                <c:pt idx="10">
                  <c:v>21.612704861400001</c:v>
                </c:pt>
                <c:pt idx="11">
                  <c:v>31.9436785561</c:v>
                </c:pt>
                <c:pt idx="12">
                  <c:v>25.912088802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Dat_01!$C$262:$O$262</c:f>
              <c:numCache>
                <c:formatCode>#,##0.0</c:formatCode>
                <c:ptCount val="13"/>
                <c:pt idx="0">
                  <c:v>242.5</c:v>
                </c:pt>
                <c:pt idx="1">
                  <c:v>4030.7</c:v>
                </c:pt>
                <c:pt idx="2">
                  <c:v>242.3</c:v>
                </c:pt>
                <c:pt idx="3">
                  <c:v>125</c:v>
                </c:pt>
                <c:pt idx="4">
                  <c:v>460</c:v>
                </c:pt>
                <c:pt idx="5">
                  <c:v>20</c:v>
                </c:pt>
                <c:pt idx="6">
                  <c:v>0</c:v>
                </c:pt>
                <c:pt idx="7">
                  <c:v>0</c:v>
                </c:pt>
                <c:pt idx="8">
                  <c:v>0</c:v>
                </c:pt>
                <c:pt idx="9">
                  <c:v>8.25</c:v>
                </c:pt>
                <c:pt idx="10">
                  <c:v>0</c:v>
                </c:pt>
                <c:pt idx="11">
                  <c:v>0</c:v>
                </c:pt>
                <c:pt idx="12">
                  <c:v>127.5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Dat_01!$C$263:$O$263</c:f>
              <c:numCache>
                <c:formatCode>#,##0.0</c:formatCode>
                <c:ptCount val="13"/>
                <c:pt idx="0">
                  <c:v>105492.6</c:v>
                </c:pt>
                <c:pt idx="1">
                  <c:v>112340.22500000001</c:v>
                </c:pt>
                <c:pt idx="2">
                  <c:v>76778.675000000003</c:v>
                </c:pt>
                <c:pt idx="3">
                  <c:v>130542.65</c:v>
                </c:pt>
                <c:pt idx="4">
                  <c:v>124757.625</c:v>
                </c:pt>
                <c:pt idx="5">
                  <c:v>52851.55</c:v>
                </c:pt>
                <c:pt idx="6">
                  <c:v>20211.7</c:v>
                </c:pt>
                <c:pt idx="7">
                  <c:v>21810.125</c:v>
                </c:pt>
                <c:pt idx="8">
                  <c:v>32926.224999999999</c:v>
                </c:pt>
                <c:pt idx="9">
                  <c:v>64006.1</c:v>
                </c:pt>
                <c:pt idx="10">
                  <c:v>163340.42499999999</c:v>
                </c:pt>
                <c:pt idx="11">
                  <c:v>165694.04999999999</c:v>
                </c:pt>
                <c:pt idx="12">
                  <c:v>125756.45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Dat_01!$C$264:$O$264</c:f>
              <c:numCache>
                <c:formatCode>#,##0.0</c:formatCode>
                <c:ptCount val="13"/>
                <c:pt idx="0">
                  <c:v>2.25</c:v>
                </c:pt>
                <c:pt idx="1">
                  <c:v>164.75</c:v>
                </c:pt>
                <c:pt idx="2">
                  <c:v>2</c:v>
                </c:pt>
                <c:pt idx="3">
                  <c:v>20.625</c:v>
                </c:pt>
                <c:pt idx="4">
                  <c:v>36.5</c:v>
                </c:pt>
                <c:pt idx="5">
                  <c:v>0</c:v>
                </c:pt>
                <c:pt idx="6">
                  <c:v>16</c:v>
                </c:pt>
                <c:pt idx="7">
                  <c:v>30.5</c:v>
                </c:pt>
                <c:pt idx="8">
                  <c:v>8.25</c:v>
                </c:pt>
                <c:pt idx="9">
                  <c:v>103.2</c:v>
                </c:pt>
                <c:pt idx="10">
                  <c:v>13.175000000000001</c:v>
                </c:pt>
                <c:pt idx="11">
                  <c:v>45.65</c:v>
                </c:pt>
                <c:pt idx="12">
                  <c:v>14.25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Dat_01!$C$265:$O$265</c:f>
              <c:numCache>
                <c:formatCode>#,##0.0</c:formatCode>
                <c:ptCount val="13"/>
                <c:pt idx="0">
                  <c:v>7781</c:v>
                </c:pt>
                <c:pt idx="1">
                  <c:v>13063.5</c:v>
                </c:pt>
                <c:pt idx="2">
                  <c:v>14633.45</c:v>
                </c:pt>
                <c:pt idx="3">
                  <c:v>21631.25</c:v>
                </c:pt>
                <c:pt idx="4">
                  <c:v>10274.75</c:v>
                </c:pt>
                <c:pt idx="5">
                  <c:v>13379.5</c:v>
                </c:pt>
                <c:pt idx="6">
                  <c:v>15172.75</c:v>
                </c:pt>
                <c:pt idx="7">
                  <c:v>7407.5</c:v>
                </c:pt>
                <c:pt idx="8">
                  <c:v>9859.75</c:v>
                </c:pt>
                <c:pt idx="9">
                  <c:v>17882.150000000001</c:v>
                </c:pt>
                <c:pt idx="10">
                  <c:v>15875.5</c:v>
                </c:pt>
                <c:pt idx="11">
                  <c:v>8039.05</c:v>
                </c:pt>
                <c:pt idx="12">
                  <c:v>7439.25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Dat_01!$C$267:$O$267</c:f>
              <c:numCache>
                <c:formatCode>#,##0.0</c:formatCode>
                <c:ptCount val="13"/>
                <c:pt idx="0">
                  <c:v>9960.15</c:v>
                </c:pt>
                <c:pt idx="1">
                  <c:v>17178.525000000001</c:v>
                </c:pt>
                <c:pt idx="2">
                  <c:v>18267.525000000001</c:v>
                </c:pt>
                <c:pt idx="3">
                  <c:v>22334.375</c:v>
                </c:pt>
                <c:pt idx="4">
                  <c:v>14486.075000000001</c:v>
                </c:pt>
                <c:pt idx="5">
                  <c:v>25612.974999999999</c:v>
                </c:pt>
                <c:pt idx="6">
                  <c:v>79915.274999999994</c:v>
                </c:pt>
                <c:pt idx="7">
                  <c:v>29149.474999999999</c:v>
                </c:pt>
                <c:pt idx="8">
                  <c:v>13277.424999999999</c:v>
                </c:pt>
                <c:pt idx="9">
                  <c:v>17743.05</c:v>
                </c:pt>
                <c:pt idx="10">
                  <c:v>20474.400000000001</c:v>
                </c:pt>
                <c:pt idx="11">
                  <c:v>12857.125</c:v>
                </c:pt>
                <c:pt idx="12">
                  <c:v>10297.075000000001</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Dat_01!$C$270:$O$270</c:f>
              <c:numCache>
                <c:formatCode>#,##0.0</c:formatCode>
                <c:ptCount val="13"/>
                <c:pt idx="0">
                  <c:v>9303.9</c:v>
                </c:pt>
                <c:pt idx="1">
                  <c:v>29288.974999999999</c:v>
                </c:pt>
                <c:pt idx="2">
                  <c:v>15599.125</c:v>
                </c:pt>
                <c:pt idx="3">
                  <c:v>55213.974999999999</c:v>
                </c:pt>
                <c:pt idx="4">
                  <c:v>21436.375</c:v>
                </c:pt>
                <c:pt idx="5">
                  <c:v>22889.05</c:v>
                </c:pt>
                <c:pt idx="6">
                  <c:v>21242.6</c:v>
                </c:pt>
                <c:pt idx="7">
                  <c:v>29669.674999999999</c:v>
                </c:pt>
                <c:pt idx="8">
                  <c:v>27349.875</c:v>
                </c:pt>
                <c:pt idx="9">
                  <c:v>34456.25</c:v>
                </c:pt>
                <c:pt idx="10">
                  <c:v>28817.424999999999</c:v>
                </c:pt>
                <c:pt idx="11">
                  <c:v>18607.349999999999</c:v>
                </c:pt>
                <c:pt idx="12">
                  <c:v>15957.25</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Dat_01!$C$273:$O$273</c:f>
              <c:numCache>
                <c:formatCode>#,##0.0</c:formatCode>
                <c:ptCount val="13"/>
                <c:pt idx="0">
                  <c:v>1998.5</c:v>
                </c:pt>
                <c:pt idx="1">
                  <c:v>1045.75</c:v>
                </c:pt>
                <c:pt idx="2">
                  <c:v>750.42499999999995</c:v>
                </c:pt>
                <c:pt idx="3">
                  <c:v>18.75</c:v>
                </c:pt>
                <c:pt idx="4">
                  <c:v>74.75</c:v>
                </c:pt>
                <c:pt idx="5">
                  <c:v>494</c:v>
                </c:pt>
                <c:pt idx="6">
                  <c:v>605.375</c:v>
                </c:pt>
                <c:pt idx="7">
                  <c:v>24.5</c:v>
                </c:pt>
                <c:pt idx="8">
                  <c:v>201.3</c:v>
                </c:pt>
                <c:pt idx="9">
                  <c:v>1.325</c:v>
                </c:pt>
                <c:pt idx="10">
                  <c:v>238.82499999999999</c:v>
                </c:pt>
                <c:pt idx="11">
                  <c:v>342</c:v>
                </c:pt>
                <c:pt idx="12">
                  <c:v>0</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2</c:v>
                </c:pt>
                <c:pt idx="1">
                  <c:v>0</c:v>
                </c:pt>
                <c:pt idx="2">
                  <c:v>0</c:v>
                </c:pt>
                <c:pt idx="3">
                  <c:v>0</c:v>
                </c:pt>
                <c:pt idx="4">
                  <c:v>24</c:v>
                </c:pt>
                <c:pt idx="5">
                  <c:v>7</c:v>
                </c:pt>
                <c:pt idx="6">
                  <c:v>3</c:v>
                </c:pt>
                <c:pt idx="7">
                  <c:v>30</c:v>
                </c:pt>
                <c:pt idx="8">
                  <c:v>9</c:v>
                </c:pt>
                <c:pt idx="9">
                  <c:v>6</c:v>
                </c:pt>
                <c:pt idx="10">
                  <c:v>13</c:v>
                </c:pt>
                <c:pt idx="11">
                  <c:v>0</c:v>
                </c:pt>
                <c:pt idx="12">
                  <c:v>2</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Dat_01!$C$276:$O$276</c:f>
              <c:numCache>
                <c:formatCode>#,##0.0</c:formatCode>
                <c:ptCount val="13"/>
                <c:pt idx="0">
                  <c:v>5033.1000000000004</c:v>
                </c:pt>
                <c:pt idx="1">
                  <c:v>3984.7249999999999</c:v>
                </c:pt>
                <c:pt idx="2">
                  <c:v>2214.4499999999998</c:v>
                </c:pt>
                <c:pt idx="3">
                  <c:v>4181.5749999999998</c:v>
                </c:pt>
                <c:pt idx="4">
                  <c:v>2324.9250000000002</c:v>
                </c:pt>
                <c:pt idx="5">
                  <c:v>2443.4</c:v>
                </c:pt>
                <c:pt idx="6">
                  <c:v>7915.4750000000004</c:v>
                </c:pt>
                <c:pt idx="7">
                  <c:v>6025.9750000000004</c:v>
                </c:pt>
                <c:pt idx="8">
                  <c:v>2653.85</c:v>
                </c:pt>
                <c:pt idx="9">
                  <c:v>4092.125</c:v>
                </c:pt>
                <c:pt idx="10">
                  <c:v>7436.6</c:v>
                </c:pt>
                <c:pt idx="11">
                  <c:v>5419.0249999999996</c:v>
                </c:pt>
                <c:pt idx="12">
                  <c:v>3986.1750000000002</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Dat_01!$C$277:$O$277</c:f>
              <c:numCache>
                <c:formatCode>#,##0.0</c:formatCode>
                <c:ptCount val="13"/>
                <c:pt idx="0">
                  <c:v>0</c:v>
                </c:pt>
                <c:pt idx="1">
                  <c:v>0</c:v>
                </c:pt>
                <c:pt idx="2">
                  <c:v>2</c:v>
                </c:pt>
                <c:pt idx="3">
                  <c:v>0</c:v>
                </c:pt>
                <c:pt idx="4">
                  <c:v>0</c:v>
                </c:pt>
                <c:pt idx="5">
                  <c:v>0</c:v>
                </c:pt>
                <c:pt idx="6">
                  <c:v>0</c:v>
                </c:pt>
                <c:pt idx="7">
                  <c:v>0</c:v>
                </c:pt>
                <c:pt idx="8">
                  <c:v>36.25</c:v>
                </c:pt>
                <c:pt idx="9">
                  <c:v>1</c:v>
                </c:pt>
                <c:pt idx="10">
                  <c:v>0</c:v>
                </c:pt>
                <c:pt idx="11">
                  <c:v>129</c:v>
                </c:pt>
                <c:pt idx="12">
                  <c:v>100.75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Dat_01!$C$278:$O$278</c:f>
              <c:numCache>
                <c:formatCode>#,##0.0</c:formatCode>
                <c:ptCount val="13"/>
                <c:pt idx="0">
                  <c:v>21057.1</c:v>
                </c:pt>
                <c:pt idx="1">
                  <c:v>25044.625</c:v>
                </c:pt>
                <c:pt idx="2">
                  <c:v>19792.325000000001</c:v>
                </c:pt>
                <c:pt idx="3">
                  <c:v>24356.724999999999</c:v>
                </c:pt>
                <c:pt idx="4">
                  <c:v>33204.949999999997</c:v>
                </c:pt>
                <c:pt idx="5">
                  <c:v>14792.95</c:v>
                </c:pt>
                <c:pt idx="6">
                  <c:v>21120.174999999999</c:v>
                </c:pt>
                <c:pt idx="7">
                  <c:v>20281.5</c:v>
                </c:pt>
                <c:pt idx="8">
                  <c:v>40992.875</c:v>
                </c:pt>
                <c:pt idx="9">
                  <c:v>19780.849999999999</c:v>
                </c:pt>
                <c:pt idx="10">
                  <c:v>24586.275000000001</c:v>
                </c:pt>
                <c:pt idx="11">
                  <c:v>12669</c:v>
                </c:pt>
                <c:pt idx="12">
                  <c:v>25155.45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19108.924999999999</c:v>
                </c:pt>
                <c:pt idx="1">
                  <c:v>28366.325000000001</c:v>
                </c:pt>
                <c:pt idx="2">
                  <c:v>32908.824999999997</c:v>
                </c:pt>
                <c:pt idx="3">
                  <c:v>13991.525</c:v>
                </c:pt>
                <c:pt idx="4">
                  <c:v>16698.8</c:v>
                </c:pt>
                <c:pt idx="5">
                  <c:v>23769.14</c:v>
                </c:pt>
                <c:pt idx="6">
                  <c:v>22715.875</c:v>
                </c:pt>
                <c:pt idx="7">
                  <c:v>23154.973999999998</c:v>
                </c:pt>
                <c:pt idx="8">
                  <c:v>27594.224999999999</c:v>
                </c:pt>
                <c:pt idx="9">
                  <c:v>16767.825000000001</c:v>
                </c:pt>
                <c:pt idx="10">
                  <c:v>8009.9250000000002</c:v>
                </c:pt>
                <c:pt idx="11">
                  <c:v>8058.9750000000004</c:v>
                </c:pt>
                <c:pt idx="12">
                  <c:v>17383.25</c:v>
                </c:pt>
              </c:numCache>
            </c:numRef>
          </c:cat>
          <c:val>
            <c:numRef>
              <c:f>Dat_01!$C$415:$O$415</c:f>
              <c:numCache>
                <c:formatCode>#,##0.00</c:formatCode>
                <c:ptCount val="13"/>
                <c:pt idx="0">
                  <c:v>122.48809194739999</c:v>
                </c:pt>
                <c:pt idx="1">
                  <c:v>120.59056698969999</c:v>
                </c:pt>
                <c:pt idx="2">
                  <c:v>76.701016102200001</c:v>
                </c:pt>
                <c:pt idx="3">
                  <c:v>91.662085788300004</c:v>
                </c:pt>
                <c:pt idx="4">
                  <c:v>101.4055087979</c:v>
                </c:pt>
                <c:pt idx="5">
                  <c:v>54.715808582599998</c:v>
                </c:pt>
                <c:pt idx="6">
                  <c:v>16.668427916500001</c:v>
                </c:pt>
                <c:pt idx="7">
                  <c:v>43.211302561700002</c:v>
                </c:pt>
                <c:pt idx="8">
                  <c:v>60.628175665999997</c:v>
                </c:pt>
                <c:pt idx="9">
                  <c:v>89.108096908600004</c:v>
                </c:pt>
                <c:pt idx="10">
                  <c:v>97.5221057535</c:v>
                </c:pt>
                <c:pt idx="11">
                  <c:v>115.105830533</c:v>
                </c:pt>
                <c:pt idx="12">
                  <c:v>110.71596343</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19108.924999999999</c:v>
                </c:pt>
                <c:pt idx="1">
                  <c:v>28366.325000000001</c:v>
                </c:pt>
                <c:pt idx="2">
                  <c:v>32908.824999999997</c:v>
                </c:pt>
                <c:pt idx="3">
                  <c:v>13991.525</c:v>
                </c:pt>
                <c:pt idx="4">
                  <c:v>16698.8</c:v>
                </c:pt>
                <c:pt idx="5">
                  <c:v>23769.14</c:v>
                </c:pt>
                <c:pt idx="6">
                  <c:v>22715.875</c:v>
                </c:pt>
                <c:pt idx="7">
                  <c:v>23154.973999999998</c:v>
                </c:pt>
                <c:pt idx="8">
                  <c:v>27594.224999999999</c:v>
                </c:pt>
                <c:pt idx="9">
                  <c:v>16767.825000000001</c:v>
                </c:pt>
                <c:pt idx="10">
                  <c:v>8009.9250000000002</c:v>
                </c:pt>
                <c:pt idx="11">
                  <c:v>8058.9750000000004</c:v>
                </c:pt>
                <c:pt idx="12">
                  <c:v>17383.25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Dat_01!$C$279:$O$279</c:f>
              <c:numCache>
                <c:formatCode>#,##0.0</c:formatCode>
                <c:ptCount val="13"/>
                <c:pt idx="0">
                  <c:v>160873.1</c:v>
                </c:pt>
                <c:pt idx="1">
                  <c:v>206141.77499999999</c:v>
                </c:pt>
                <c:pt idx="2">
                  <c:v>148282.27499999999</c:v>
                </c:pt>
                <c:pt idx="3">
                  <c:v>258424.92499999999</c:v>
                </c:pt>
                <c:pt idx="4">
                  <c:v>207079.95</c:v>
                </c:pt>
                <c:pt idx="5">
                  <c:v>132490.42499999999</c:v>
                </c:pt>
                <c:pt idx="6">
                  <c:v>166202.35</c:v>
                </c:pt>
                <c:pt idx="7">
                  <c:v>114429.25</c:v>
                </c:pt>
                <c:pt idx="8">
                  <c:v>127314.8</c:v>
                </c:pt>
                <c:pt idx="9">
                  <c:v>158080.29999999999</c:v>
                </c:pt>
                <c:pt idx="10">
                  <c:v>260795.625</c:v>
                </c:pt>
                <c:pt idx="11">
                  <c:v>223802.25</c:v>
                </c:pt>
                <c:pt idx="12">
                  <c:v>188836.15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Dat_01!$D$323:$P$323</c:f>
              <c:numCache>
                <c:formatCode>#,##0.0</c:formatCode>
                <c:ptCount val="13"/>
                <c:pt idx="0">
                  <c:v>10544</c:v>
                </c:pt>
                <c:pt idx="1">
                  <c:v>10508.8</c:v>
                </c:pt>
                <c:pt idx="2">
                  <c:v>14554.1</c:v>
                </c:pt>
                <c:pt idx="3">
                  <c:v>11374.3</c:v>
                </c:pt>
                <c:pt idx="4">
                  <c:v>19280.5</c:v>
                </c:pt>
                <c:pt idx="5">
                  <c:v>11627.5</c:v>
                </c:pt>
                <c:pt idx="6">
                  <c:v>13597</c:v>
                </c:pt>
                <c:pt idx="7">
                  <c:v>15456</c:v>
                </c:pt>
                <c:pt idx="8">
                  <c:v>6692</c:v>
                </c:pt>
                <c:pt idx="9">
                  <c:v>5900</c:v>
                </c:pt>
                <c:pt idx="10">
                  <c:v>5752.1</c:v>
                </c:pt>
                <c:pt idx="11">
                  <c:v>2420</c:v>
                </c:pt>
                <c:pt idx="12">
                  <c:v>3714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Dat_01!$D$324:$P$324</c:f>
              <c:numCache>
                <c:formatCode>#,##0.0</c:formatCode>
                <c:ptCount val="13"/>
                <c:pt idx="0">
                  <c:v>39388.9</c:v>
                </c:pt>
                <c:pt idx="1">
                  <c:v>58942.5</c:v>
                </c:pt>
                <c:pt idx="2">
                  <c:v>34048.300000000003</c:v>
                </c:pt>
                <c:pt idx="3">
                  <c:v>44685.4</c:v>
                </c:pt>
                <c:pt idx="4">
                  <c:v>39323.5</c:v>
                </c:pt>
                <c:pt idx="5">
                  <c:v>62430.3</c:v>
                </c:pt>
                <c:pt idx="6">
                  <c:v>121758.8</c:v>
                </c:pt>
                <c:pt idx="7">
                  <c:v>177774.8</c:v>
                </c:pt>
                <c:pt idx="8">
                  <c:v>141126.39999999999</c:v>
                </c:pt>
                <c:pt idx="9">
                  <c:v>125705</c:v>
                </c:pt>
                <c:pt idx="10">
                  <c:v>136962</c:v>
                </c:pt>
                <c:pt idx="11">
                  <c:v>164237</c:v>
                </c:pt>
                <c:pt idx="12">
                  <c:v>104951</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79070</c:v>
                </c:pt>
                <c:pt idx="1">
                  <c:v>139851.25</c:v>
                </c:pt>
                <c:pt idx="2">
                  <c:v>76563</c:v>
                </c:pt>
                <c:pt idx="3">
                  <c:v>175720.75</c:v>
                </c:pt>
                <c:pt idx="4">
                  <c:v>106308.5</c:v>
                </c:pt>
                <c:pt idx="5">
                  <c:v>70662.5</c:v>
                </c:pt>
                <c:pt idx="6">
                  <c:v>111953</c:v>
                </c:pt>
                <c:pt idx="7">
                  <c:v>78770.25</c:v>
                </c:pt>
                <c:pt idx="8">
                  <c:v>89311.5</c:v>
                </c:pt>
                <c:pt idx="9">
                  <c:v>127607.75</c:v>
                </c:pt>
                <c:pt idx="10">
                  <c:v>199179.5</c:v>
                </c:pt>
                <c:pt idx="11">
                  <c:v>129470.5</c:v>
                </c:pt>
                <c:pt idx="12">
                  <c:v>94718.25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195827.02499999999</c:v>
                </c:pt>
                <c:pt idx="1">
                  <c:v>182309.32500000001</c:v>
                </c:pt>
                <c:pt idx="2">
                  <c:v>221780.57500000001</c:v>
                </c:pt>
                <c:pt idx="3">
                  <c:v>175030.42499999999</c:v>
                </c:pt>
                <c:pt idx="4">
                  <c:v>283181.3</c:v>
                </c:pt>
                <c:pt idx="5">
                  <c:v>334851.02500000002</c:v>
                </c:pt>
                <c:pt idx="6">
                  <c:v>361856.35</c:v>
                </c:pt>
                <c:pt idx="7">
                  <c:v>528469.05000000005</c:v>
                </c:pt>
                <c:pt idx="8">
                  <c:v>326272.95</c:v>
                </c:pt>
                <c:pt idx="9">
                  <c:v>272576.55</c:v>
                </c:pt>
                <c:pt idx="10">
                  <c:v>250370.42499999999</c:v>
                </c:pt>
                <c:pt idx="11">
                  <c:v>336517.5</c:v>
                </c:pt>
                <c:pt idx="12">
                  <c:v>360452.6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43063.3</c:v>
                </c:pt>
                <c:pt idx="1">
                  <c:v>21642.7</c:v>
                </c:pt>
                <c:pt idx="2">
                  <c:v>19149.099999999999</c:v>
                </c:pt>
                <c:pt idx="3">
                  <c:v>25840.2</c:v>
                </c:pt>
                <c:pt idx="4">
                  <c:v>50841.7</c:v>
                </c:pt>
                <c:pt idx="5">
                  <c:v>25431.7</c:v>
                </c:pt>
                <c:pt idx="6">
                  <c:v>13680.4</c:v>
                </c:pt>
                <c:pt idx="7">
                  <c:v>11694</c:v>
                </c:pt>
                <c:pt idx="8">
                  <c:v>26707</c:v>
                </c:pt>
                <c:pt idx="9">
                  <c:v>24345.4</c:v>
                </c:pt>
                <c:pt idx="10">
                  <c:v>40017.800000000003</c:v>
                </c:pt>
                <c:pt idx="11">
                  <c:v>47585.5</c:v>
                </c:pt>
                <c:pt idx="12">
                  <c:v>30360.7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89231.9</c:v>
                </c:pt>
                <c:pt idx="1">
                  <c:v>80020.899999999994</c:v>
                </c:pt>
                <c:pt idx="2">
                  <c:v>109984.5</c:v>
                </c:pt>
                <c:pt idx="3">
                  <c:v>102588</c:v>
                </c:pt>
                <c:pt idx="4">
                  <c:v>100314.7</c:v>
                </c:pt>
                <c:pt idx="5">
                  <c:v>64202.5</c:v>
                </c:pt>
                <c:pt idx="6">
                  <c:v>56049.9</c:v>
                </c:pt>
                <c:pt idx="7">
                  <c:v>56392</c:v>
                </c:pt>
                <c:pt idx="8">
                  <c:v>48172.5</c:v>
                </c:pt>
                <c:pt idx="9">
                  <c:v>42929.599999999999</c:v>
                </c:pt>
                <c:pt idx="10">
                  <c:v>32491</c:v>
                </c:pt>
                <c:pt idx="11">
                  <c:v>37214</c:v>
                </c:pt>
                <c:pt idx="12">
                  <c:v>55114.6</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196386</c:v>
                </c:pt>
                <c:pt idx="1">
                  <c:v>148231</c:v>
                </c:pt>
                <c:pt idx="2">
                  <c:v>223145.25</c:v>
                </c:pt>
                <c:pt idx="3">
                  <c:v>164694.75</c:v>
                </c:pt>
                <c:pt idx="4">
                  <c:v>274962.25</c:v>
                </c:pt>
                <c:pt idx="5">
                  <c:v>288599.5</c:v>
                </c:pt>
                <c:pt idx="6">
                  <c:v>260521.75</c:v>
                </c:pt>
                <c:pt idx="7">
                  <c:v>367665.25</c:v>
                </c:pt>
                <c:pt idx="8">
                  <c:v>215330.75</c:v>
                </c:pt>
                <c:pt idx="9">
                  <c:v>177774</c:v>
                </c:pt>
                <c:pt idx="10">
                  <c:v>118924</c:v>
                </c:pt>
                <c:pt idx="11">
                  <c:v>160328.25</c:v>
                </c:pt>
                <c:pt idx="12">
                  <c:v>243145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958.3</c:v>
                </c:pt>
                <c:pt idx="1">
                  <c:v>186.85</c:v>
                </c:pt>
                <c:pt idx="2">
                  <c:v>3.75</c:v>
                </c:pt>
                <c:pt idx="3">
                  <c:v>1374.075</c:v>
                </c:pt>
                <c:pt idx="4">
                  <c:v>0</c:v>
                </c:pt>
                <c:pt idx="5">
                  <c:v>155</c:v>
                </c:pt>
                <c:pt idx="6">
                  <c:v>0</c:v>
                </c:pt>
                <c:pt idx="7">
                  <c:v>10</c:v>
                </c:pt>
                <c:pt idx="8">
                  <c:v>0</c:v>
                </c:pt>
                <c:pt idx="9">
                  <c:v>1365.3</c:v>
                </c:pt>
                <c:pt idx="10">
                  <c:v>3894.75</c:v>
                </c:pt>
                <c:pt idx="11">
                  <c:v>3825.5839999999998</c:v>
                </c:pt>
                <c:pt idx="12">
                  <c:v>1455.4469999999999</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215.17699999999999</c:v>
                </c:pt>
                <c:pt idx="1">
                  <c:v>413.56700000000001</c:v>
                </c:pt>
                <c:pt idx="2">
                  <c:v>528.09799999999996</c:v>
                </c:pt>
                <c:pt idx="3">
                  <c:v>765.46799999999996</c:v>
                </c:pt>
                <c:pt idx="4">
                  <c:v>519.226</c:v>
                </c:pt>
                <c:pt idx="5">
                  <c:v>1004.436</c:v>
                </c:pt>
                <c:pt idx="6">
                  <c:v>1079.9839999999999</c:v>
                </c:pt>
                <c:pt idx="7">
                  <c:v>1089.4069999999999</c:v>
                </c:pt>
                <c:pt idx="8">
                  <c:v>1088.4359999999999</c:v>
                </c:pt>
                <c:pt idx="9">
                  <c:v>1965.856</c:v>
                </c:pt>
                <c:pt idx="10">
                  <c:v>2542.4380000000001</c:v>
                </c:pt>
                <c:pt idx="11">
                  <c:v>1938.558</c:v>
                </c:pt>
                <c:pt idx="12">
                  <c:v>841.26099999999997</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27683.021000000001</c:v>
                </c:pt>
                <c:pt idx="1">
                  <c:v>39689.898999999998</c:v>
                </c:pt>
                <c:pt idx="2">
                  <c:v>18641.495999999999</c:v>
                </c:pt>
                <c:pt idx="3">
                  <c:v>21378.15</c:v>
                </c:pt>
                <c:pt idx="4">
                  <c:v>28959.425999999999</c:v>
                </c:pt>
                <c:pt idx="5">
                  <c:v>16487.8</c:v>
                </c:pt>
                <c:pt idx="6">
                  <c:v>4441.0829999999996</c:v>
                </c:pt>
                <c:pt idx="7">
                  <c:v>6010.1840000000002</c:v>
                </c:pt>
                <c:pt idx="8">
                  <c:v>7774.2160000000003</c:v>
                </c:pt>
                <c:pt idx="9">
                  <c:v>1115.75</c:v>
                </c:pt>
                <c:pt idx="10">
                  <c:v>2546.0500000000002</c:v>
                </c:pt>
                <c:pt idx="11">
                  <c:v>3493.634</c:v>
                </c:pt>
                <c:pt idx="12">
                  <c:v>2673.65</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3999.4050000000002</c:v>
                </c:pt>
                <c:pt idx="1">
                  <c:v>12288.728999999999</c:v>
                </c:pt>
                <c:pt idx="2">
                  <c:v>32691.319</c:v>
                </c:pt>
                <c:pt idx="3">
                  <c:v>44180.542999999998</c:v>
                </c:pt>
                <c:pt idx="4">
                  <c:v>15518.136</c:v>
                </c:pt>
                <c:pt idx="5">
                  <c:v>24732.25</c:v>
                </c:pt>
                <c:pt idx="6">
                  <c:v>23063.254000000001</c:v>
                </c:pt>
                <c:pt idx="7">
                  <c:v>48982.904000000002</c:v>
                </c:pt>
                <c:pt idx="8">
                  <c:v>23862.542000000001</c:v>
                </c:pt>
                <c:pt idx="9">
                  <c:v>17546.748</c:v>
                </c:pt>
                <c:pt idx="10">
                  <c:v>38043.703000000001</c:v>
                </c:pt>
                <c:pt idx="11">
                  <c:v>56388.968000000001</c:v>
                </c:pt>
                <c:pt idx="12">
                  <c:v>48777.252999999997</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0</c:v>
                </c:pt>
                <c:pt idx="8">
                  <c:v>0</c:v>
                </c:pt>
                <c:pt idx="9">
                  <c:v>42.920999999999999</c:v>
                </c:pt>
                <c:pt idx="10">
                  <c:v>23.96</c:v>
                </c:pt>
                <c:pt idx="11">
                  <c:v>21.622</c:v>
                </c:pt>
                <c:pt idx="12">
                  <c:v>0</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139.92500000000001</c:v>
                </c:pt>
                <c:pt idx="1">
                  <c:v>55.808</c:v>
                </c:pt>
                <c:pt idx="2">
                  <c:v>287.654</c:v>
                </c:pt>
                <c:pt idx="3">
                  <c:v>1412.165</c:v>
                </c:pt>
                <c:pt idx="4">
                  <c:v>121.52500000000001</c:v>
                </c:pt>
                <c:pt idx="5">
                  <c:v>258.358</c:v>
                </c:pt>
                <c:pt idx="6">
                  <c:v>111.10599999999999</c:v>
                </c:pt>
                <c:pt idx="7">
                  <c:v>1125.6949999999999</c:v>
                </c:pt>
                <c:pt idx="8">
                  <c:v>712.31700000000001</c:v>
                </c:pt>
                <c:pt idx="9">
                  <c:v>365.18</c:v>
                </c:pt>
                <c:pt idx="10">
                  <c:v>1415.2339999999999</c:v>
                </c:pt>
                <c:pt idx="11">
                  <c:v>183.179</c:v>
                </c:pt>
                <c:pt idx="12">
                  <c:v>451.173</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65092.65</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560.625</c:v>
                </c:pt>
                <c:pt idx="1">
                  <c:v>97.266000000000005</c:v>
                </c:pt>
                <c:pt idx="2">
                  <c:v>22.882000000000001</c:v>
                </c:pt>
                <c:pt idx="3">
                  <c:v>335.38299999999998</c:v>
                </c:pt>
                <c:pt idx="4">
                  <c:v>170.661</c:v>
                </c:pt>
                <c:pt idx="5">
                  <c:v>77.587000000000003</c:v>
                </c:pt>
                <c:pt idx="6">
                  <c:v>48.784999999999997</c:v>
                </c:pt>
                <c:pt idx="7">
                  <c:v>541.41</c:v>
                </c:pt>
                <c:pt idx="8">
                  <c:v>490.61900000000003</c:v>
                </c:pt>
                <c:pt idx="9">
                  <c:v>598.42600000000004</c:v>
                </c:pt>
                <c:pt idx="10">
                  <c:v>669.4</c:v>
                </c:pt>
                <c:pt idx="11">
                  <c:v>1386.989</c:v>
                </c:pt>
                <c:pt idx="12">
                  <c:v>1098.56</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c:v>
                </c:pt>
                <c:pt idx="1">
                  <c:v>235.03200000000001</c:v>
                </c:pt>
                <c:pt idx="2">
                  <c:v>0</c:v>
                </c:pt>
                <c:pt idx="3">
                  <c:v>0</c:v>
                </c:pt>
                <c:pt idx="4">
                  <c:v>291.70400000000001</c:v>
                </c:pt>
                <c:pt idx="5">
                  <c:v>0.32300000000000001</c:v>
                </c:pt>
                <c:pt idx="6">
                  <c:v>167.35599999999999</c:v>
                </c:pt>
                <c:pt idx="7">
                  <c:v>107.09699999999999</c:v>
                </c:pt>
                <c:pt idx="8">
                  <c:v>78.733000000000004</c:v>
                </c:pt>
                <c:pt idx="9">
                  <c:v>91.48</c:v>
                </c:pt>
                <c:pt idx="10">
                  <c:v>168.80799999999999</c:v>
                </c:pt>
                <c:pt idx="11">
                  <c:v>378.25400000000002</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31670.609</c:v>
                </c:pt>
                <c:pt idx="1">
                  <c:v>17134.014999999999</c:v>
                </c:pt>
                <c:pt idx="2">
                  <c:v>968.15700000000004</c:v>
                </c:pt>
                <c:pt idx="3">
                  <c:v>163.08600000000001</c:v>
                </c:pt>
                <c:pt idx="4">
                  <c:v>675.24599999999998</c:v>
                </c:pt>
                <c:pt idx="5">
                  <c:v>1357.9770000000001</c:v>
                </c:pt>
                <c:pt idx="6">
                  <c:v>504.74200000000002</c:v>
                </c:pt>
                <c:pt idx="7">
                  <c:v>5828.8280000000004</c:v>
                </c:pt>
                <c:pt idx="8">
                  <c:v>8387.5049999999992</c:v>
                </c:pt>
                <c:pt idx="9">
                  <c:v>11010.724</c:v>
                </c:pt>
                <c:pt idx="10">
                  <c:v>10833.011</c:v>
                </c:pt>
                <c:pt idx="11">
                  <c:v>4597.1080000000002</c:v>
                </c:pt>
                <c:pt idx="12">
                  <c:v>3494.25</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13214.049000000001</c:v>
                </c:pt>
                <c:pt idx="1">
                  <c:v>4971.4070000000002</c:v>
                </c:pt>
                <c:pt idx="2">
                  <c:v>287.63900000000001</c:v>
                </c:pt>
                <c:pt idx="3">
                  <c:v>136.88300000000001</c:v>
                </c:pt>
                <c:pt idx="4">
                  <c:v>466.6</c:v>
                </c:pt>
                <c:pt idx="5">
                  <c:v>1117.1780000000001</c:v>
                </c:pt>
                <c:pt idx="6">
                  <c:v>595.601</c:v>
                </c:pt>
                <c:pt idx="7">
                  <c:v>6543.5209999999997</c:v>
                </c:pt>
                <c:pt idx="8">
                  <c:v>12018.695</c:v>
                </c:pt>
                <c:pt idx="9">
                  <c:v>10891.841</c:v>
                </c:pt>
                <c:pt idx="10">
                  <c:v>5665.9579999999996</c:v>
                </c:pt>
                <c:pt idx="11">
                  <c:v>13777.802</c:v>
                </c:pt>
                <c:pt idx="12">
                  <c:v>8693.5400000000009</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1776.567</c:v>
                </c:pt>
                <c:pt idx="1">
                  <c:v>695.21699999999998</c:v>
                </c:pt>
                <c:pt idx="2">
                  <c:v>6902.5</c:v>
                </c:pt>
                <c:pt idx="3">
                  <c:v>470.8</c:v>
                </c:pt>
                <c:pt idx="4">
                  <c:v>0</c:v>
                </c:pt>
                <c:pt idx="5">
                  <c:v>1146.375</c:v>
                </c:pt>
                <c:pt idx="6">
                  <c:v>4757.4750000000004</c:v>
                </c:pt>
                <c:pt idx="7">
                  <c:v>4314.3549999999996</c:v>
                </c:pt>
                <c:pt idx="8">
                  <c:v>157.5</c:v>
                </c:pt>
                <c:pt idx="9">
                  <c:v>0</c:v>
                </c:pt>
                <c:pt idx="10">
                  <c:v>1978.1659999999999</c:v>
                </c:pt>
                <c:pt idx="11">
                  <c:v>0</c:v>
                </c:pt>
                <c:pt idx="12">
                  <c:v>996.77499999999998</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20.7337007699</c:v>
                </c:pt>
                <c:pt idx="1">
                  <c:v>19.595284660299999</c:v>
                </c:pt>
                <c:pt idx="2">
                  <c:v>14.548145822</c:v>
                </c:pt>
                <c:pt idx="3">
                  <c:v>13.603288389299999</c:v>
                </c:pt>
                <c:pt idx="4">
                  <c:v>22.633838069100001</c:v>
                </c:pt>
                <c:pt idx="5">
                  <c:v>2.4752993094</c:v>
                </c:pt>
                <c:pt idx="6">
                  <c:v>-2.1492703556000001</c:v>
                </c:pt>
                <c:pt idx="7">
                  <c:v>-80.875709114200006</c:v>
                </c:pt>
                <c:pt idx="8">
                  <c:v>-11.2316371219</c:v>
                </c:pt>
                <c:pt idx="9">
                  <c:v>-18.632218680099999</c:v>
                </c:pt>
                <c:pt idx="10">
                  <c:v>-12.944409784399999</c:v>
                </c:pt>
                <c:pt idx="11">
                  <c:v>-13.1817331304</c:v>
                </c:pt>
                <c:pt idx="12">
                  <c:v>-18.372193450400001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Dat_01!$C$426:$C$438</c:f>
              <c:numCache>
                <c:formatCode>0.0</c:formatCode>
                <c:ptCount val="13"/>
                <c:pt idx="0">
                  <c:v>31.7361111111111</c:v>
                </c:pt>
                <c:pt idx="1">
                  <c:v>39.784946236559136</c:v>
                </c:pt>
                <c:pt idx="2">
                  <c:v>46.782407407407405</c:v>
                </c:pt>
                <c:pt idx="3">
                  <c:v>50.672043010752688</c:v>
                </c:pt>
                <c:pt idx="4">
                  <c:v>54.077060931899638</c:v>
                </c:pt>
                <c:pt idx="5">
                  <c:v>45.21072796934866</c:v>
                </c:pt>
                <c:pt idx="6">
                  <c:v>37.826379542395713</c:v>
                </c:pt>
                <c:pt idx="7">
                  <c:v>37.226851851851862</c:v>
                </c:pt>
                <c:pt idx="8">
                  <c:v>35.629480286738342</c:v>
                </c:pt>
                <c:pt idx="9">
                  <c:v>40.451388888888886</c:v>
                </c:pt>
                <c:pt idx="10">
                  <c:v>42.697132616487465</c:v>
                </c:pt>
                <c:pt idx="11">
                  <c:v>42.585125448028677</c:v>
                </c:pt>
                <c:pt idx="12" formatCode="0.00">
                  <c:v>38.217592592592595</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Dat_01!$D$426:$D$438</c:f>
              <c:numCache>
                <c:formatCode>0.0</c:formatCode>
                <c:ptCount val="13"/>
                <c:pt idx="0">
                  <c:v>7.9398148148148149</c:v>
                </c:pt>
                <c:pt idx="1">
                  <c:v>13.172043010752688</c:v>
                </c:pt>
                <c:pt idx="2">
                  <c:v>11.064814814814815</c:v>
                </c:pt>
                <c:pt idx="3">
                  <c:v>9.6998207885304648</c:v>
                </c:pt>
                <c:pt idx="4">
                  <c:v>8.1093189964157713</c:v>
                </c:pt>
                <c:pt idx="5">
                  <c:v>12.5</c:v>
                </c:pt>
                <c:pt idx="6">
                  <c:v>10.235531628532973</c:v>
                </c:pt>
                <c:pt idx="7">
                  <c:v>6.7523148148148149</c:v>
                </c:pt>
                <c:pt idx="8">
                  <c:v>12.107974910394265</c:v>
                </c:pt>
                <c:pt idx="9">
                  <c:v>10.266203703703702</c:v>
                </c:pt>
                <c:pt idx="10">
                  <c:v>10.103046594982077</c:v>
                </c:pt>
                <c:pt idx="11">
                  <c:v>9.8790322580645178</c:v>
                </c:pt>
                <c:pt idx="12" formatCode="0.00">
                  <c:v>10.532407407407408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Dat_01!$F$426:$F$438</c:f>
              <c:numCache>
                <c:formatCode>0.0</c:formatCode>
                <c:ptCount val="13"/>
                <c:pt idx="0">
                  <c:v>0</c:v>
                </c:pt>
                <c:pt idx="1">
                  <c:v>0.13440860215053765</c:v>
                </c:pt>
                <c:pt idx="2">
                  <c:v>0</c:v>
                </c:pt>
                <c:pt idx="3">
                  <c:v>0</c:v>
                </c:pt>
                <c:pt idx="4">
                  <c:v>0</c:v>
                </c:pt>
                <c:pt idx="5">
                  <c:v>0</c:v>
                </c:pt>
                <c:pt idx="6">
                  <c:v>0.26917900403768508</c:v>
                </c:pt>
                <c:pt idx="7">
                  <c:v>0.41666666666666669</c:v>
                </c:pt>
                <c:pt idx="8">
                  <c:v>0</c:v>
                </c:pt>
                <c:pt idx="9">
                  <c:v>0</c:v>
                </c:pt>
                <c:pt idx="10">
                  <c:v>0</c:v>
                </c:pt>
                <c:pt idx="11">
                  <c:v>0</c:v>
                </c:pt>
                <c:pt idx="12" formatCode="0.00">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Dat_01!$G$426:$G$438</c:f>
              <c:numCache>
                <c:formatCode>0.0</c:formatCode>
                <c:ptCount val="13"/>
                <c:pt idx="0">
                  <c:v>28.611111111111111</c:v>
                </c:pt>
                <c:pt idx="1">
                  <c:v>16.061827956989248</c:v>
                </c:pt>
                <c:pt idx="2">
                  <c:v>5.625</c:v>
                </c:pt>
                <c:pt idx="3">
                  <c:v>6.6084229390680997</c:v>
                </c:pt>
                <c:pt idx="4">
                  <c:v>9.6998207885304648</c:v>
                </c:pt>
                <c:pt idx="5">
                  <c:v>3.5201149425287355</c:v>
                </c:pt>
                <c:pt idx="6">
                  <c:v>3.9434724091520863</c:v>
                </c:pt>
                <c:pt idx="7">
                  <c:v>1.6689814814814814</c:v>
                </c:pt>
                <c:pt idx="8">
                  <c:v>0.53763440860215062</c:v>
                </c:pt>
                <c:pt idx="9">
                  <c:v>1.5972222222222221</c:v>
                </c:pt>
                <c:pt idx="10">
                  <c:v>7.795698924731183</c:v>
                </c:pt>
                <c:pt idx="11">
                  <c:v>7.5940860215053752</c:v>
                </c:pt>
                <c:pt idx="12" formatCode="0.00">
                  <c:v>6.5972222222222223</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Dat_01!$H$426:$H$438</c:f>
              <c:numCache>
                <c:formatCode>0.0</c:formatCode>
                <c:ptCount val="13"/>
                <c:pt idx="0">
                  <c:v>0.46296296296296297</c:v>
                </c:pt>
                <c:pt idx="1">
                  <c:v>0.49283154121863793</c:v>
                </c:pt>
                <c:pt idx="2">
                  <c:v>0.99537037037037024</c:v>
                </c:pt>
                <c:pt idx="3">
                  <c:v>0.29121863799283154</c:v>
                </c:pt>
                <c:pt idx="4">
                  <c:v>0</c:v>
                </c:pt>
                <c:pt idx="5">
                  <c:v>1.8199233716475096</c:v>
                </c:pt>
                <c:pt idx="6">
                  <c:v>8.5980260206370556</c:v>
                </c:pt>
                <c:pt idx="7">
                  <c:v>10.990740740740742</c:v>
                </c:pt>
                <c:pt idx="8">
                  <c:v>12.354390681003583</c:v>
                </c:pt>
                <c:pt idx="9">
                  <c:v>12.07175925925926</c:v>
                </c:pt>
                <c:pt idx="10">
                  <c:v>1.3440860215053763</c:v>
                </c:pt>
                <c:pt idx="11">
                  <c:v>0</c:v>
                </c:pt>
                <c:pt idx="12">
                  <c:v>0</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0.34722222222222221</c:v>
                </c:pt>
                <c:pt idx="10">
                  <c:v>0.13440860215053765</c:v>
                </c:pt>
                <c:pt idx="11">
                  <c:v>0</c:v>
                </c:pt>
                <c:pt idx="12">
                  <c:v>0.55555555555555558</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Dat_01!$J$426:$J$438</c:f>
              <c:numCache>
                <c:formatCode>0.0</c:formatCode>
                <c:ptCount val="13"/>
                <c:pt idx="0">
                  <c:v>31.250000000000007</c:v>
                </c:pt>
                <c:pt idx="1">
                  <c:v>30.353942652329753</c:v>
                </c:pt>
                <c:pt idx="2">
                  <c:v>35.532407407407412</c:v>
                </c:pt>
                <c:pt idx="3">
                  <c:v>32.728494623655912</c:v>
                </c:pt>
                <c:pt idx="4">
                  <c:v>28.113799283154123</c:v>
                </c:pt>
                <c:pt idx="5">
                  <c:v>36.949233716475099</c:v>
                </c:pt>
                <c:pt idx="6">
                  <c:v>39.127411395244494</c:v>
                </c:pt>
                <c:pt idx="7">
                  <c:v>42.944444444444436</c:v>
                </c:pt>
                <c:pt idx="8">
                  <c:v>39.370519713261658</c:v>
                </c:pt>
                <c:pt idx="9">
                  <c:v>35.266203703703709</c:v>
                </c:pt>
                <c:pt idx="10">
                  <c:v>37.925627240143363</c:v>
                </c:pt>
                <c:pt idx="11">
                  <c:v>39.941756272401435</c:v>
                </c:pt>
                <c:pt idx="12">
                  <c:v>44.097222222222221</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Dat_01!$C$341:$O$341</c:f>
              <c:numCache>
                <c:formatCode>#,##0.0</c:formatCode>
                <c:ptCount val="13"/>
                <c:pt idx="0">
                  <c:v>38425</c:v>
                </c:pt>
                <c:pt idx="1">
                  <c:v>22001.7</c:v>
                </c:pt>
                <c:pt idx="2">
                  <c:v>0</c:v>
                </c:pt>
                <c:pt idx="3">
                  <c:v>397.08300000000003</c:v>
                </c:pt>
                <c:pt idx="4">
                  <c:v>12198.75</c:v>
                </c:pt>
                <c:pt idx="5">
                  <c:v>340</c:v>
                </c:pt>
                <c:pt idx="6">
                  <c:v>0</c:v>
                </c:pt>
                <c:pt idx="7">
                  <c:v>0</c:v>
                </c:pt>
                <c:pt idx="8">
                  <c:v>0</c:v>
                </c:pt>
                <c:pt idx="9">
                  <c:v>4632.6000000000004</c:v>
                </c:pt>
                <c:pt idx="10">
                  <c:v>10899</c:v>
                </c:pt>
                <c:pt idx="11">
                  <c:v>3159</c:v>
                </c:pt>
                <c:pt idx="12">
                  <c:v>6921</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Dat_01!$C$342:$O$342</c:f>
              <c:numCache>
                <c:formatCode>#,##0.0</c:formatCode>
                <c:ptCount val="13"/>
                <c:pt idx="0">
                  <c:v>287082.59399999998</c:v>
                </c:pt>
                <c:pt idx="1">
                  <c:v>391922.45899999997</c:v>
                </c:pt>
                <c:pt idx="2">
                  <c:v>573207.83400000003</c:v>
                </c:pt>
                <c:pt idx="3">
                  <c:v>607349.12600000005</c:v>
                </c:pt>
                <c:pt idx="4">
                  <c:v>484724.1</c:v>
                </c:pt>
                <c:pt idx="5">
                  <c:v>419985.842</c:v>
                </c:pt>
                <c:pt idx="6">
                  <c:v>451230.06699999998</c:v>
                </c:pt>
                <c:pt idx="7">
                  <c:v>529199.00800000003</c:v>
                </c:pt>
                <c:pt idx="8">
                  <c:v>292755.49599999998</c:v>
                </c:pt>
                <c:pt idx="9">
                  <c:v>305769.40000000002</c:v>
                </c:pt>
                <c:pt idx="10">
                  <c:v>417951.071</c:v>
                </c:pt>
                <c:pt idx="11">
                  <c:v>452723.04200000002</c:v>
                </c:pt>
                <c:pt idx="12">
                  <c:v>430782.21600000001</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Dat_01!$C$343:$O$343</c:f>
              <c:numCache>
                <c:formatCode>#,##0.0</c:formatCode>
                <c:ptCount val="13"/>
                <c:pt idx="0">
                  <c:v>0</c:v>
                </c:pt>
                <c:pt idx="1">
                  <c:v>600</c:v>
                </c:pt>
                <c:pt idx="2">
                  <c:v>491.7</c:v>
                </c:pt>
                <c:pt idx="3">
                  <c:v>0</c:v>
                </c:pt>
                <c:pt idx="4">
                  <c:v>0</c:v>
                </c:pt>
                <c:pt idx="5">
                  <c:v>0</c:v>
                </c:pt>
                <c:pt idx="6">
                  <c:v>0</c:v>
                </c:pt>
                <c:pt idx="7">
                  <c:v>0</c:v>
                </c:pt>
                <c:pt idx="8">
                  <c:v>0</c:v>
                </c:pt>
                <c:pt idx="9">
                  <c:v>0</c:v>
                </c:pt>
                <c:pt idx="10">
                  <c:v>8.61</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Dat_01!$C$344:$O$344</c:f>
              <c:numCache>
                <c:formatCode>#,##0.0</c:formatCode>
                <c:ptCount val="13"/>
                <c:pt idx="0">
                  <c:v>5227.5839999999998</c:v>
                </c:pt>
                <c:pt idx="1">
                  <c:v>1995.1669999999999</c:v>
                </c:pt>
                <c:pt idx="2">
                  <c:v>12124.45</c:v>
                </c:pt>
                <c:pt idx="3">
                  <c:v>2462.5</c:v>
                </c:pt>
                <c:pt idx="4">
                  <c:v>596.03300000000002</c:v>
                </c:pt>
                <c:pt idx="5">
                  <c:v>186.65</c:v>
                </c:pt>
                <c:pt idx="6">
                  <c:v>6444.8249999999998</c:v>
                </c:pt>
                <c:pt idx="7">
                  <c:v>1372.1669999999999</c:v>
                </c:pt>
                <c:pt idx="8">
                  <c:v>1162.867</c:v>
                </c:pt>
                <c:pt idx="9">
                  <c:v>1212.25</c:v>
                </c:pt>
                <c:pt idx="10">
                  <c:v>5738.7330000000002</c:v>
                </c:pt>
                <c:pt idx="11">
                  <c:v>9876.75</c:v>
                </c:pt>
                <c:pt idx="12">
                  <c:v>408.33300000000003</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Dat_01!$C$345:$O$345</c:f>
              <c:numCache>
                <c:formatCode>#,##0.0</c:formatCode>
                <c:ptCount val="13"/>
                <c:pt idx="0">
                  <c:v>0</c:v>
                </c:pt>
                <c:pt idx="1">
                  <c:v>550.78300000000002</c:v>
                </c:pt>
                <c:pt idx="2">
                  <c:v>319.05</c:v>
                </c:pt>
                <c:pt idx="3">
                  <c:v>0</c:v>
                </c:pt>
                <c:pt idx="4">
                  <c:v>0</c:v>
                </c:pt>
                <c:pt idx="5">
                  <c:v>51</c:v>
                </c:pt>
                <c:pt idx="6">
                  <c:v>423.8</c:v>
                </c:pt>
                <c:pt idx="7">
                  <c:v>383</c:v>
                </c:pt>
                <c:pt idx="8">
                  <c:v>1163.7</c:v>
                </c:pt>
                <c:pt idx="9">
                  <c:v>2708.7</c:v>
                </c:pt>
                <c:pt idx="10">
                  <c:v>0</c:v>
                </c:pt>
                <c:pt idx="11">
                  <c:v>2741.6</c:v>
                </c:pt>
                <c:pt idx="12">
                  <c:v>372</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Dat_01!$C$346:$O$346</c:f>
              <c:numCache>
                <c:formatCode>#,##0.0</c:formatCode>
                <c:ptCount val="13"/>
                <c:pt idx="0">
                  <c:v>0</c:v>
                </c:pt>
                <c:pt idx="1">
                  <c:v>0</c:v>
                </c:pt>
                <c:pt idx="2">
                  <c:v>100</c:v>
                </c:pt>
                <c:pt idx="3">
                  <c:v>0</c:v>
                </c:pt>
                <c:pt idx="4">
                  <c:v>0</c:v>
                </c:pt>
                <c:pt idx="5">
                  <c:v>0</c:v>
                </c:pt>
                <c:pt idx="6">
                  <c:v>0</c:v>
                </c:pt>
                <c:pt idx="7">
                  <c:v>0</c:v>
                </c:pt>
                <c:pt idx="8">
                  <c:v>0</c:v>
                </c:pt>
                <c:pt idx="9">
                  <c:v>0</c:v>
                </c:pt>
                <c:pt idx="10">
                  <c:v>0</c:v>
                </c:pt>
                <c:pt idx="11">
                  <c:v>0</c:v>
                </c:pt>
                <c:pt idx="12">
                  <c:v>116.667</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Dat_01!$C$348:$O$348</c:f>
              <c:numCache>
                <c:formatCode>#,##0.0</c:formatCode>
                <c:ptCount val="13"/>
                <c:pt idx="0">
                  <c:v>0</c:v>
                </c:pt>
                <c:pt idx="1">
                  <c:v>0</c:v>
                </c:pt>
                <c:pt idx="2">
                  <c:v>16.5</c:v>
                </c:pt>
                <c:pt idx="3">
                  <c:v>991</c:v>
                </c:pt>
                <c:pt idx="4">
                  <c:v>200</c:v>
                </c:pt>
                <c:pt idx="5">
                  <c:v>0</c:v>
                </c:pt>
                <c:pt idx="6">
                  <c:v>0</c:v>
                </c:pt>
                <c:pt idx="7">
                  <c:v>3583.433</c:v>
                </c:pt>
                <c:pt idx="8">
                  <c:v>489</c:v>
                </c:pt>
                <c:pt idx="9">
                  <c:v>0</c:v>
                </c:pt>
                <c:pt idx="10">
                  <c:v>755.27</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18.332999999999998</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Dat_01!$C$351:$O$351</c:f>
              <c:numCache>
                <c:formatCode>#,##0.0</c:formatCode>
                <c:ptCount val="13"/>
                <c:pt idx="0">
                  <c:v>0</c:v>
                </c:pt>
                <c:pt idx="1">
                  <c:v>0</c:v>
                </c:pt>
                <c:pt idx="2">
                  <c:v>0</c:v>
                </c:pt>
                <c:pt idx="3">
                  <c:v>0</c:v>
                </c:pt>
                <c:pt idx="4">
                  <c:v>0</c:v>
                </c:pt>
                <c:pt idx="5">
                  <c:v>6670</c:v>
                </c:pt>
                <c:pt idx="6">
                  <c:v>0</c:v>
                </c:pt>
                <c:pt idx="7">
                  <c:v>0</c:v>
                </c:pt>
                <c:pt idx="8">
                  <c:v>0</c:v>
                </c:pt>
                <c:pt idx="9">
                  <c:v>0</c:v>
                </c:pt>
                <c:pt idx="10">
                  <c:v>20.260000000000002</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Dat_01!$C$352:$O$352</c:f>
              <c:numCache>
                <c:formatCode>#,##0.0</c:formatCode>
                <c:ptCount val="13"/>
                <c:pt idx="0">
                  <c:v>0</c:v>
                </c:pt>
                <c:pt idx="1">
                  <c:v>108.25</c:v>
                </c:pt>
                <c:pt idx="2">
                  <c:v>1115.7670000000001</c:v>
                </c:pt>
                <c:pt idx="3">
                  <c:v>0</c:v>
                </c:pt>
                <c:pt idx="4">
                  <c:v>0</c:v>
                </c:pt>
                <c:pt idx="5">
                  <c:v>0</c:v>
                </c:pt>
                <c:pt idx="6">
                  <c:v>18</c:v>
                </c:pt>
                <c:pt idx="7">
                  <c:v>24.632999999999999</c:v>
                </c:pt>
                <c:pt idx="8">
                  <c:v>0</c:v>
                </c:pt>
                <c:pt idx="9">
                  <c:v>0</c:v>
                </c:pt>
                <c:pt idx="10">
                  <c:v>29.28</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2.4500000000000002</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2105.7669999999998</c:v>
                </c:pt>
                <c:pt idx="1">
                  <c:v>659.78</c:v>
                </c:pt>
                <c:pt idx="2">
                  <c:v>1155.7</c:v>
                </c:pt>
                <c:pt idx="3">
                  <c:v>2414.9180000000001</c:v>
                </c:pt>
                <c:pt idx="4">
                  <c:v>1329.5</c:v>
                </c:pt>
                <c:pt idx="5">
                  <c:v>100</c:v>
                </c:pt>
                <c:pt idx="6">
                  <c:v>66.8</c:v>
                </c:pt>
                <c:pt idx="7">
                  <c:v>1504.75</c:v>
                </c:pt>
                <c:pt idx="8">
                  <c:v>2343.8330000000001</c:v>
                </c:pt>
                <c:pt idx="9">
                  <c:v>854.25</c:v>
                </c:pt>
                <c:pt idx="10">
                  <c:v>6969.8</c:v>
                </c:pt>
                <c:pt idx="11">
                  <c:v>24880.207999999999</c:v>
                </c:pt>
                <c:pt idx="12">
                  <c:v>110</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299.75784652940001</c:v>
                </c:pt>
                <c:pt idx="1">
                  <c:v>328.83343604970003</c:v>
                </c:pt>
                <c:pt idx="2">
                  <c:v>264.71152680099999</c:v>
                </c:pt>
                <c:pt idx="3">
                  <c:v>234.13329488639999</c:v>
                </c:pt>
                <c:pt idx="4">
                  <c:v>223.77072503209999</c:v>
                </c:pt>
                <c:pt idx="5">
                  <c:v>201.7554948396</c:v>
                </c:pt>
                <c:pt idx="6">
                  <c:v>195.07445574880001</c:v>
                </c:pt>
                <c:pt idx="7">
                  <c:v>207.7302818828</c:v>
                </c:pt>
                <c:pt idx="8">
                  <c:v>240.31007922480001</c:v>
                </c:pt>
                <c:pt idx="9">
                  <c:v>243.8197242377</c:v>
                </c:pt>
                <c:pt idx="10">
                  <c:v>225.21968150449999</c:v>
                </c:pt>
                <c:pt idx="11">
                  <c:v>235.4195962709</c:v>
                </c:pt>
                <c:pt idx="12">
                  <c:v>250.26107801800001</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Dat_01!$D$454:$D$466</c:f>
              <c:numCache>
                <c:formatCode>0.00</c:formatCode>
                <c:ptCount val="13"/>
                <c:pt idx="0">
                  <c:v>103.92</c:v>
                </c:pt>
                <c:pt idx="1">
                  <c:v>90.53</c:v>
                </c:pt>
                <c:pt idx="2">
                  <c:v>65.910000000000011</c:v>
                </c:pt>
                <c:pt idx="3">
                  <c:v>74.290000000000006</c:v>
                </c:pt>
                <c:pt idx="4">
                  <c:v>76.78</c:v>
                </c:pt>
                <c:pt idx="5">
                  <c:v>40.68</c:v>
                </c:pt>
                <c:pt idx="6">
                  <c:v>21.32</c:v>
                </c:pt>
                <c:pt idx="7">
                  <c:v>13.973999999999998</c:v>
                </c:pt>
                <c:pt idx="8">
                  <c:v>30.08</c:v>
                </c:pt>
                <c:pt idx="9">
                  <c:v>56.76</c:v>
                </c:pt>
                <c:pt idx="10">
                  <c:v>72.570000000000007</c:v>
                </c:pt>
                <c:pt idx="11">
                  <c:v>72.570000000000007</c:v>
                </c:pt>
                <c:pt idx="12">
                  <c:v>73.349999999999994</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Dat_01!$E$454:$E$466</c:f>
              <c:numCache>
                <c:formatCode>0.00</c:formatCode>
                <c:ptCount val="13"/>
                <c:pt idx="0">
                  <c:v>8.23</c:v>
                </c:pt>
                <c:pt idx="1">
                  <c:v>13.540000000000001</c:v>
                </c:pt>
                <c:pt idx="2">
                  <c:v>14.119999999999997</c:v>
                </c:pt>
                <c:pt idx="3">
                  <c:v>10.699999999999998</c:v>
                </c:pt>
                <c:pt idx="4">
                  <c:v>8.5199999999999978</c:v>
                </c:pt>
                <c:pt idx="5">
                  <c:v>9.3699999999999992</c:v>
                </c:pt>
                <c:pt idx="6">
                  <c:v>12.659999999999998</c:v>
                </c:pt>
                <c:pt idx="7">
                  <c:v>17.372</c:v>
                </c:pt>
                <c:pt idx="8">
                  <c:v>14.25</c:v>
                </c:pt>
                <c:pt idx="9">
                  <c:v>11.5</c:v>
                </c:pt>
                <c:pt idx="10">
                  <c:v>8.168000000000001</c:v>
                </c:pt>
                <c:pt idx="11">
                  <c:v>8.5799999999999983</c:v>
                </c:pt>
                <c:pt idx="12">
                  <c:v>11.310000000000002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Dat_01!$F$454:$F$466</c:f>
              <c:numCache>
                <c:formatCode>0.00</c:formatCode>
                <c:ptCount val="13"/>
                <c:pt idx="0">
                  <c:v>0.19</c:v>
                </c:pt>
                <c:pt idx="1">
                  <c:v>0.17</c:v>
                </c:pt>
                <c:pt idx="2">
                  <c:v>0.23</c:v>
                </c:pt>
                <c:pt idx="3">
                  <c:v>0.3</c:v>
                </c:pt>
                <c:pt idx="4">
                  <c:v>0.35</c:v>
                </c:pt>
                <c:pt idx="5">
                  <c:v>0.33</c:v>
                </c:pt>
                <c:pt idx="6">
                  <c:v>0.19</c:v>
                </c:pt>
                <c:pt idx="7">
                  <c:v>0.16</c:v>
                </c:pt>
                <c:pt idx="8">
                  <c:v>0.15</c:v>
                </c:pt>
                <c:pt idx="9">
                  <c:v>0.15</c:v>
                </c:pt>
                <c:pt idx="10">
                  <c:v>0.31</c:v>
                </c:pt>
                <c:pt idx="11">
                  <c:v>0.31</c:v>
                </c:pt>
                <c:pt idx="12">
                  <c:v>0.16</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77416595837944"/>
                  <c:y val="-0.1152614378988727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73.349999999999994</c:v>
                </c:pt>
                <c:pt idx="1">
                  <c:v>0.16</c:v>
                </c:pt>
                <c:pt idx="2">
                  <c:v>0</c:v>
                </c:pt>
                <c:pt idx="3">
                  <c:v>11.310000000000002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Dat_01!$B$82:$N$82</c:f>
              <c:numCache>
                <c:formatCode>#,##0.00</c:formatCode>
                <c:ptCount val="13"/>
                <c:pt idx="0">
                  <c:v>2.79</c:v>
                </c:pt>
                <c:pt idx="1">
                  <c:v>5.0999999999999996</c:v>
                </c:pt>
                <c:pt idx="2">
                  <c:v>6</c:v>
                </c:pt>
                <c:pt idx="3">
                  <c:v>4.01</c:v>
                </c:pt>
                <c:pt idx="4">
                  <c:v>2.97</c:v>
                </c:pt>
                <c:pt idx="5">
                  <c:v>4.03</c:v>
                </c:pt>
                <c:pt idx="6">
                  <c:v>7.16</c:v>
                </c:pt>
                <c:pt idx="7">
                  <c:v>9.5419999999999998</c:v>
                </c:pt>
                <c:pt idx="8">
                  <c:v>9.01</c:v>
                </c:pt>
                <c:pt idx="9">
                  <c:v>5.55</c:v>
                </c:pt>
                <c:pt idx="10">
                  <c:v>3.41</c:v>
                </c:pt>
                <c:pt idx="11">
                  <c:v>3.45</c:v>
                </c:pt>
                <c:pt idx="12">
                  <c:v>4.53</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Dat_01!$B$83:$N$83</c:f>
              <c:numCache>
                <c:formatCode>#,##0.00</c:formatCode>
                <c:ptCount val="13"/>
                <c:pt idx="0">
                  <c:v>3.39</c:v>
                </c:pt>
                <c:pt idx="1">
                  <c:v>5.37</c:v>
                </c:pt>
                <c:pt idx="2">
                  <c:v>5.36</c:v>
                </c:pt>
                <c:pt idx="3">
                  <c:v>4.4400000000000004</c:v>
                </c:pt>
                <c:pt idx="4">
                  <c:v>3.09</c:v>
                </c:pt>
                <c:pt idx="5">
                  <c:v>3.17</c:v>
                </c:pt>
                <c:pt idx="6">
                  <c:v>3.41</c:v>
                </c:pt>
                <c:pt idx="7">
                  <c:v>5.63</c:v>
                </c:pt>
                <c:pt idx="8">
                  <c:v>3.11</c:v>
                </c:pt>
                <c:pt idx="9">
                  <c:v>2.64</c:v>
                </c:pt>
                <c:pt idx="10">
                  <c:v>2.81</c:v>
                </c:pt>
                <c:pt idx="11">
                  <c:v>3.21</c:v>
                </c:pt>
                <c:pt idx="12">
                  <c:v>3.66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Dat_01!$B$84:$N$84</c:f>
              <c:numCache>
                <c:formatCode>#,##0.00</c:formatCode>
                <c:ptCount val="13"/>
                <c:pt idx="0">
                  <c:v>2.33</c:v>
                </c:pt>
                <c:pt idx="1">
                  <c:v>3.3299999999999996</c:v>
                </c:pt>
                <c:pt idx="2">
                  <c:v>2.13</c:v>
                </c:pt>
                <c:pt idx="3">
                  <c:v>1.9100000000000001</c:v>
                </c:pt>
                <c:pt idx="4">
                  <c:v>2.4799999999999995</c:v>
                </c:pt>
                <c:pt idx="5">
                  <c:v>2.38</c:v>
                </c:pt>
                <c:pt idx="6">
                  <c:v>2.2599999999999998</c:v>
                </c:pt>
                <c:pt idx="7">
                  <c:v>2.1999999999999997</c:v>
                </c:pt>
                <c:pt idx="8">
                  <c:v>2.5599999999999996</c:v>
                </c:pt>
                <c:pt idx="9">
                  <c:v>3.67</c:v>
                </c:pt>
                <c:pt idx="10">
                  <c:v>2.2299999999999995</c:v>
                </c:pt>
                <c:pt idx="11">
                  <c:v>2.2199999999999998</c:v>
                </c:pt>
                <c:pt idx="12">
                  <c:v>2.7399999999999998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Dat_01!$B$85:$N$85</c:f>
              <c:numCache>
                <c:formatCode>#,##0.00</c:formatCode>
                <c:ptCount val="13"/>
                <c:pt idx="0">
                  <c:v>-0.2</c:v>
                </c:pt>
                <c:pt idx="1">
                  <c:v>-0.19</c:v>
                </c:pt>
                <c:pt idx="2">
                  <c:v>-0.1</c:v>
                </c:pt>
                <c:pt idx="3">
                  <c:v>-0.18</c:v>
                </c:pt>
                <c:pt idx="4">
                  <c:v>-0.14000000000000001</c:v>
                </c:pt>
                <c:pt idx="5">
                  <c:v>-0.08</c:v>
                </c:pt>
                <c:pt idx="6">
                  <c:v>-0.02</c:v>
                </c:pt>
                <c:pt idx="7">
                  <c:v>-0.02</c:v>
                </c:pt>
                <c:pt idx="8">
                  <c:v>-0.06</c:v>
                </c:pt>
                <c:pt idx="9">
                  <c:v>-0.09</c:v>
                </c:pt>
                <c:pt idx="10">
                  <c:v>-0.08</c:v>
                </c:pt>
                <c:pt idx="11">
                  <c:v>-0.08</c:v>
                </c:pt>
                <c:pt idx="12">
                  <c:v>-0.11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Dat_01!$B$86:$N$86</c:f>
              <c:numCache>
                <c:formatCode>#,##0.00</c:formatCode>
                <c:ptCount val="13"/>
                <c:pt idx="0">
                  <c:v>0.55000000000000004</c:v>
                </c:pt>
                <c:pt idx="1">
                  <c:v>0.39</c:v>
                </c:pt>
                <c:pt idx="2">
                  <c:v>0.34</c:v>
                </c:pt>
                <c:pt idx="3">
                  <c:v>0.37</c:v>
                </c:pt>
                <c:pt idx="4">
                  <c:v>0.42</c:v>
                </c:pt>
                <c:pt idx="5">
                  <c:v>0.3</c:v>
                </c:pt>
                <c:pt idx="6">
                  <c:v>0.28999999999999998</c:v>
                </c:pt>
                <c:pt idx="7">
                  <c:v>0.51</c:v>
                </c:pt>
                <c:pt idx="8">
                  <c:v>0.38</c:v>
                </c:pt>
                <c:pt idx="9">
                  <c:v>0.37</c:v>
                </c:pt>
                <c:pt idx="10">
                  <c:v>0.3</c:v>
                </c:pt>
                <c:pt idx="11">
                  <c:v>0.3</c:v>
                </c:pt>
                <c:pt idx="12">
                  <c:v>0.46</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Dat_01!$B$87:$N$87</c:f>
              <c:numCache>
                <c:formatCode>#,##0.00</c:formatCode>
                <c:ptCount val="13"/>
                <c:pt idx="0">
                  <c:v>0.02</c:v>
                </c:pt>
                <c:pt idx="1">
                  <c:v>0.18</c:v>
                </c:pt>
                <c:pt idx="2">
                  <c:v>0.44</c:v>
                </c:pt>
                <c:pt idx="3">
                  <c:v>0.2</c:v>
                </c:pt>
                <c:pt idx="4">
                  <c:v>0.34</c:v>
                </c:pt>
                <c:pt idx="5">
                  <c:v>0.28000000000000003</c:v>
                </c:pt>
                <c:pt idx="6">
                  <c:v>0.23</c:v>
                </c:pt>
                <c:pt idx="7">
                  <c:v>0.27</c:v>
                </c:pt>
                <c:pt idx="8">
                  <c:v>0</c:v>
                </c:pt>
                <c:pt idx="9">
                  <c:v>0.05</c:v>
                </c:pt>
                <c:pt idx="10">
                  <c:v>0.09</c:v>
                </c:pt>
                <c:pt idx="11">
                  <c:v>0.09</c:v>
                </c:pt>
                <c:pt idx="12">
                  <c:v>0.73</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Dat_01!$B$88:$N$88</c:f>
              <c:numCache>
                <c:formatCode>#,##0.00</c:formatCode>
                <c:ptCount val="13"/>
                <c:pt idx="0">
                  <c:v>-7.0000000000000007E-2</c:v>
                </c:pt>
                <c:pt idx="1">
                  <c:v>-0.09</c:v>
                </c:pt>
                <c:pt idx="2">
                  <c:v>-0.09</c:v>
                </c:pt>
                <c:pt idx="3">
                  <c:v>-0.09</c:v>
                </c:pt>
                <c:pt idx="4">
                  <c:v>-0.09</c:v>
                </c:pt>
                <c:pt idx="5">
                  <c:v>-0.14000000000000001</c:v>
                </c:pt>
                <c:pt idx="6">
                  <c:v>-0.13</c:v>
                </c:pt>
                <c:pt idx="7">
                  <c:v>-0.12</c:v>
                </c:pt>
                <c:pt idx="8">
                  <c:v>-0.13</c:v>
                </c:pt>
                <c:pt idx="9">
                  <c:v>-0.11</c:v>
                </c:pt>
                <c:pt idx="10">
                  <c:v>-0.09</c:v>
                </c:pt>
                <c:pt idx="11">
                  <c:v>-0.1</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-0.63</c:v>
                </c:pt>
                <c:pt idx="1">
                  <c:v>-0.6</c:v>
                </c:pt>
                <c:pt idx="2">
                  <c:v>0</c:v>
                </c:pt>
                <c:pt idx="3">
                  <c:v>0</c:v>
                </c:pt>
                <c:pt idx="4">
                  <c:v>-0.56999999999999995</c:v>
                </c:pt>
                <c:pt idx="5">
                  <c:v>-0.61</c:v>
                </c:pt>
                <c:pt idx="6">
                  <c:v>-0.57000000000000006</c:v>
                </c:pt>
                <c:pt idx="7">
                  <c:v>-0.67</c:v>
                </c:pt>
                <c:pt idx="8">
                  <c:v>-0.67</c:v>
                </c:pt>
                <c:pt idx="9">
                  <c:v>-0.62</c:v>
                </c:pt>
                <c:pt idx="10">
                  <c:v>-0.56199999999999994</c:v>
                </c:pt>
                <c:pt idx="11">
                  <c:v>-0.54999999999999993</c:v>
                </c:pt>
                <c:pt idx="12">
                  <c:v>-0.63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Dat_01!$B$90:$N$90</c:f>
              <c:numCache>
                <c:formatCode>0.00</c:formatCode>
                <c:ptCount val="13"/>
                <c:pt idx="0">
                  <c:v>0.05</c:v>
                </c:pt>
                <c:pt idx="1">
                  <c:v>0.05</c:v>
                </c:pt>
                <c:pt idx="2">
                  <c:v>0.04</c:v>
                </c:pt>
                <c:pt idx="3">
                  <c:v>0.04</c:v>
                </c:pt>
                <c:pt idx="4">
                  <c:v>0.02</c:v>
                </c:pt>
                <c:pt idx="5">
                  <c:v>0.04</c:v>
                </c:pt>
                <c:pt idx="6">
                  <c:v>0.03</c:v>
                </c:pt>
                <c:pt idx="7">
                  <c:v>0.03</c:v>
                </c:pt>
                <c:pt idx="8">
                  <c:v>0.05</c:v>
                </c:pt>
                <c:pt idx="9">
                  <c:v>0.04</c:v>
                </c:pt>
                <c:pt idx="10">
                  <c:v>0.06</c:v>
                </c:pt>
                <c:pt idx="11">
                  <c:v>0.04</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Septiembre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1074.2741000000001</c:v>
                </c:pt>
                <c:pt idx="1">
                  <c:v>506.838458</c:v>
                </c:pt>
                <c:pt idx="2">
                  <c:v>337.61936500000002</c:v>
                </c:pt>
                <c:pt idx="3">
                  <c:v>390.18229100000002</c:v>
                </c:pt>
                <c:pt idx="4">
                  <c:v>337.86324999999999</c:v>
                </c:pt>
                <c:pt idx="5">
                  <c:v>75.526187999999991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Septiembre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795.11680000000001</c:v>
                </c:pt>
                <c:pt idx="1">
                  <c:v>413.05862300000001</c:v>
                </c:pt>
                <c:pt idx="2">
                  <c:v>323.27601099999998</c:v>
                </c:pt>
                <c:pt idx="3">
                  <c:v>364.77231899999998</c:v>
                </c:pt>
                <c:pt idx="4">
                  <c:v>275.45600000000002</c:v>
                </c:pt>
                <c:pt idx="5">
                  <c:v>81.478992000000005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Dat_01!$C$137:$O$137</c:f>
              <c:numCache>
                <c:formatCode>#,##0;\(#,##0\)</c:formatCode>
                <c:ptCount val="13"/>
                <c:pt idx="0">
                  <c:v>180894</c:v>
                </c:pt>
                <c:pt idx="1">
                  <c:v>179348.9</c:v>
                </c:pt>
                <c:pt idx="2">
                  <c:v>158625</c:v>
                </c:pt>
                <c:pt idx="3">
                  <c:v>156652.5</c:v>
                </c:pt>
                <c:pt idx="4">
                  <c:v>152061</c:v>
                </c:pt>
                <c:pt idx="5">
                  <c:v>179084</c:v>
                </c:pt>
                <c:pt idx="6">
                  <c:v>164083</c:v>
                </c:pt>
                <c:pt idx="7">
                  <c:v>190630.2</c:v>
                </c:pt>
                <c:pt idx="8">
                  <c:v>178457</c:v>
                </c:pt>
                <c:pt idx="9">
                  <c:v>118330</c:v>
                </c:pt>
                <c:pt idx="10">
                  <c:v>157282</c:v>
                </c:pt>
                <c:pt idx="11">
                  <c:v>161811</c:v>
                </c:pt>
                <c:pt idx="12">
                  <c:v>252325.6</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Dat_01!$C$139:$O$139</c:f>
              <c:numCache>
                <c:formatCode>#,##0;\(#,##0\)</c:formatCode>
                <c:ptCount val="13"/>
                <c:pt idx="0">
                  <c:v>537393.30000000005</c:v>
                </c:pt>
                <c:pt idx="1">
                  <c:v>699577</c:v>
                </c:pt>
                <c:pt idx="2">
                  <c:v>806211.9</c:v>
                </c:pt>
                <c:pt idx="3">
                  <c:v>714991.3</c:v>
                </c:pt>
                <c:pt idx="4">
                  <c:v>529633</c:v>
                </c:pt>
                <c:pt idx="5">
                  <c:v>584373.5</c:v>
                </c:pt>
                <c:pt idx="6">
                  <c:v>712135.3</c:v>
                </c:pt>
                <c:pt idx="7">
                  <c:v>680753.3</c:v>
                </c:pt>
                <c:pt idx="8">
                  <c:v>870770.7</c:v>
                </c:pt>
                <c:pt idx="9">
                  <c:v>665201</c:v>
                </c:pt>
                <c:pt idx="10">
                  <c:v>684982.3</c:v>
                </c:pt>
                <c:pt idx="11">
                  <c:v>699616.5</c:v>
                </c:pt>
                <c:pt idx="12">
                  <c:v>690114.2</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Dat_01!$C$143:$O$143</c:f>
              <c:numCache>
                <c:formatCode>#,##0;\(#,##0\)</c:formatCode>
                <c:ptCount val="13"/>
                <c:pt idx="0">
                  <c:v>0</c:v>
                </c:pt>
                <c:pt idx="1">
                  <c:v>400</c:v>
                </c:pt>
                <c:pt idx="2">
                  <c:v>1123.9000000000001</c:v>
                </c:pt>
                <c:pt idx="3">
                  <c:v>0</c:v>
                </c:pt>
                <c:pt idx="4">
                  <c:v>0</c:v>
                </c:pt>
                <c:pt idx="5">
                  <c:v>0</c:v>
                </c:pt>
                <c:pt idx="6">
                  <c:v>0</c:v>
                </c:pt>
                <c:pt idx="7">
                  <c:v>53.3</c:v>
                </c:pt>
                <c:pt idx="8">
                  <c:v>0.2</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Dat_01!$C$146:$O$146</c:f>
              <c:numCache>
                <c:formatCode>#,##0;\(#,##0\)</c:formatCode>
                <c:ptCount val="13"/>
                <c:pt idx="0">
                  <c:v>4681.3</c:v>
                </c:pt>
                <c:pt idx="1">
                  <c:v>17036.599999999999</c:v>
                </c:pt>
                <c:pt idx="2">
                  <c:v>16397.2</c:v>
                </c:pt>
                <c:pt idx="3">
                  <c:v>0</c:v>
                </c:pt>
                <c:pt idx="4">
                  <c:v>0</c:v>
                </c:pt>
                <c:pt idx="5">
                  <c:v>12294.2</c:v>
                </c:pt>
                <c:pt idx="6">
                  <c:v>879.8</c:v>
                </c:pt>
                <c:pt idx="7">
                  <c:v>7545</c:v>
                </c:pt>
                <c:pt idx="8">
                  <c:v>0</c:v>
                </c:pt>
                <c:pt idx="9">
                  <c:v>0</c:v>
                </c:pt>
                <c:pt idx="10">
                  <c:v>6619.1</c:v>
                </c:pt>
                <c:pt idx="11">
                  <c:v>0</c:v>
                </c:pt>
                <c:pt idx="12">
                  <c:v>184</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Dat_01!$C$134:$O$134</c:f>
              <c:numCache>
                <c:formatCode>#,##0;\(#,##0\)</c:formatCode>
                <c:ptCount val="13"/>
                <c:pt idx="0">
                  <c:v>0</c:v>
                </c:pt>
                <c:pt idx="1">
                  <c:v>0</c:v>
                </c:pt>
                <c:pt idx="2">
                  <c:v>180</c:v>
                </c:pt>
                <c:pt idx="3">
                  <c:v>1170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Dat_01!$C$144:$O$144</c:f>
              <c:numCache>
                <c:formatCode>#,##0;\(#,##0\)</c:formatCode>
                <c:ptCount val="13"/>
                <c:pt idx="0">
                  <c:v>0</c:v>
                </c:pt>
                <c:pt idx="1">
                  <c:v>1381</c:v>
                </c:pt>
                <c:pt idx="2">
                  <c:v>12732</c:v>
                </c:pt>
                <c:pt idx="3">
                  <c:v>0</c:v>
                </c:pt>
                <c:pt idx="4">
                  <c:v>0</c:v>
                </c:pt>
                <c:pt idx="5">
                  <c:v>0</c:v>
                </c:pt>
                <c:pt idx="6">
                  <c:v>0</c:v>
                </c:pt>
                <c:pt idx="7">
                  <c:v>676.6</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Dat_01!$C$135:$O$135</c:f>
              <c:numCache>
                <c:formatCode>#,##0;\(#,##0\)</c:formatCode>
                <c:ptCount val="13"/>
                <c:pt idx="0">
                  <c:v>0</c:v>
                </c:pt>
                <c:pt idx="1">
                  <c:v>0</c:v>
                </c:pt>
                <c:pt idx="2">
                  <c:v>0</c:v>
                </c:pt>
                <c:pt idx="3">
                  <c:v>0</c:v>
                </c:pt>
                <c:pt idx="4">
                  <c:v>0</c:v>
                </c:pt>
                <c:pt idx="5">
                  <c:v>0</c:v>
                </c:pt>
                <c:pt idx="6">
                  <c:v>0</c:v>
                </c:pt>
                <c:pt idx="7">
                  <c:v>100</c:v>
                </c:pt>
                <c:pt idx="8">
                  <c:v>4370</c:v>
                </c:pt>
                <c:pt idx="9">
                  <c:v>0.6</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Dat_01!$C$136:$O$136</c:f>
              <c:numCache>
                <c:formatCode>#,##0;\(#,##0\)</c:formatCode>
                <c:ptCount val="13"/>
                <c:pt idx="0">
                  <c:v>0</c:v>
                </c:pt>
                <c:pt idx="1">
                  <c:v>0</c:v>
                </c:pt>
                <c:pt idx="2">
                  <c:v>0</c:v>
                </c:pt>
                <c:pt idx="3">
                  <c:v>0</c:v>
                </c:pt>
                <c:pt idx="4">
                  <c:v>0</c:v>
                </c:pt>
                <c:pt idx="5">
                  <c:v>14553.4</c:v>
                </c:pt>
                <c:pt idx="6">
                  <c:v>691036.7</c:v>
                </c:pt>
                <c:pt idx="7">
                  <c:v>1102040.5</c:v>
                </c:pt>
                <c:pt idx="8">
                  <c:v>697817.8</c:v>
                </c:pt>
                <c:pt idx="9">
                  <c:v>435935.9</c:v>
                </c:pt>
                <c:pt idx="10">
                  <c:v>60001.7</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165.89159940740001</c:v>
                </c:pt>
                <c:pt idx="1">
                  <c:v>182.64758901440001</c:v>
                </c:pt>
                <c:pt idx="2">
                  <c:v>172.70362826269999</c:v>
                </c:pt>
                <c:pt idx="3">
                  <c:v>155.29074767029999</c:v>
                </c:pt>
                <c:pt idx="4">
                  <c:v>155.13578439770001</c:v>
                </c:pt>
                <c:pt idx="5">
                  <c:v>131.86444546679999</c:v>
                </c:pt>
                <c:pt idx="6">
                  <c:v>100.0149203691</c:v>
                </c:pt>
                <c:pt idx="7">
                  <c:v>93.258906953199997</c:v>
                </c:pt>
                <c:pt idx="8">
                  <c:v>114.750116874</c:v>
                </c:pt>
                <c:pt idx="9">
                  <c:v>119.53299055479999</c:v>
                </c:pt>
                <c:pt idx="10">
                  <c:v>142.29953853699999</c:v>
                </c:pt>
                <c:pt idx="11">
                  <c:v>169.8250358736</c:v>
                </c:pt>
                <c:pt idx="12">
                  <c:v>155.87385113639999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Dat_01!$B$156</c:f>
              <c:strCache>
                <c:ptCount val="1"/>
                <c:pt idx="0">
                  <c:v>Carbón</c:v>
                </c:pt>
              </c:strCache>
            </c:strRef>
          </c:tx>
          <c:spPr>
            <a:solidFill>
              <a:srgbClr val="70303C"/>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Dat_01!$B$158</c:f>
              <c:strCache>
                <c:ptCount val="1"/>
                <c:pt idx="0">
                  <c:v>Ciclo Combinado</c:v>
                </c:pt>
              </c:strCache>
            </c:strRef>
          </c:tx>
          <c:spPr>
            <a:solidFill>
              <a:srgbClr val="FFCC66"/>
            </a:solidFill>
            <a:ln>
              <a:noFill/>
            </a:ln>
          </c:spPr>
          <c:invertIfNegative val="0"/>
          <c:val>
            <c:numRef>
              <c:f>Dat_01!$C$158:$O$158</c:f>
              <c:numCache>
                <c:formatCode>#,##0;\(#,##0\)</c:formatCode>
                <c:ptCount val="13"/>
                <c:pt idx="0">
                  <c:v>1223.5</c:v>
                </c:pt>
                <c:pt idx="1">
                  <c:v>0</c:v>
                </c:pt>
                <c:pt idx="2">
                  <c:v>0</c:v>
                </c:pt>
                <c:pt idx="3">
                  <c:v>0</c:v>
                </c:pt>
                <c:pt idx="4">
                  <c:v>0</c:v>
                </c:pt>
                <c:pt idx="5">
                  <c:v>0</c:v>
                </c:pt>
                <c:pt idx="6">
                  <c:v>0</c:v>
                </c:pt>
                <c:pt idx="7">
                  <c:v>0</c:v>
                </c:pt>
                <c:pt idx="8">
                  <c:v>0</c:v>
                </c:pt>
                <c:pt idx="9">
                  <c:v>0</c:v>
                </c:pt>
                <c:pt idx="10">
                  <c:v>212.3</c:v>
                </c:pt>
                <c:pt idx="11">
                  <c:v>168.2</c:v>
                </c:pt>
                <c:pt idx="12">
                  <c:v>1706.2</c:v>
                </c:pt>
              </c:numCache>
            </c:numRef>
          </c:val>
          <c:extLst>
            <c:ext xmlns:c16="http://schemas.microsoft.com/office/drawing/2014/chart" uri="{C3380CC4-5D6E-409C-BE32-E72D297353CC}">
              <c16:uniqueId val="{00000005-FEB9-4654-8A2F-05F064C4D2EE}"/>
            </c:ext>
          </c:extLst>
        </c:ser>
        <c:ser>
          <c:idx val="10"/>
          <c:order val="2"/>
          <c:tx>
            <c:strRef>
              <c:f>Dat_01!$B$162</c:f>
              <c:strCache>
                <c:ptCount val="1"/>
                <c:pt idx="0">
                  <c:v>Cogeneración</c:v>
                </c:pt>
              </c:strCache>
            </c:strRef>
          </c:tx>
          <c:spPr>
            <a:solidFill>
              <a:srgbClr val="CFA2CA"/>
            </a:solidFill>
          </c:spPr>
          <c:invertIfNegative val="0"/>
          <c:val>
            <c:numRef>
              <c:f>Dat_01!$C$162:$O$162</c:f>
              <c:numCache>
                <c:formatCode>#,##0;\(#,##0\)</c:formatCode>
                <c:ptCount val="13"/>
                <c:pt idx="0">
                  <c:v>6632.4</c:v>
                </c:pt>
                <c:pt idx="1">
                  <c:v>5876.6</c:v>
                </c:pt>
                <c:pt idx="2">
                  <c:v>3323.3</c:v>
                </c:pt>
                <c:pt idx="3">
                  <c:v>8632.2999999999993</c:v>
                </c:pt>
                <c:pt idx="4">
                  <c:v>3514.4</c:v>
                </c:pt>
                <c:pt idx="5">
                  <c:v>3974.4</c:v>
                </c:pt>
                <c:pt idx="6">
                  <c:v>2439.1999999999998</c:v>
                </c:pt>
                <c:pt idx="7">
                  <c:v>6590.7</c:v>
                </c:pt>
                <c:pt idx="8">
                  <c:v>17285.900000000001</c:v>
                </c:pt>
                <c:pt idx="9">
                  <c:v>8829.7999999999993</c:v>
                </c:pt>
                <c:pt idx="10">
                  <c:v>15027.8</c:v>
                </c:pt>
                <c:pt idx="11">
                  <c:v>5587.1</c:v>
                </c:pt>
                <c:pt idx="12">
                  <c:v>13252.9</c:v>
                </c:pt>
              </c:numCache>
            </c:numRef>
          </c:val>
          <c:extLst>
            <c:ext xmlns:c16="http://schemas.microsoft.com/office/drawing/2014/chart" uri="{C3380CC4-5D6E-409C-BE32-E72D297353CC}">
              <c16:uniqueId val="{00000007-FEB9-4654-8A2F-05F064C4D2EE}"/>
            </c:ext>
          </c:extLst>
        </c:ser>
        <c:ser>
          <c:idx val="8"/>
          <c:order val="3"/>
          <c:tx>
            <c:strRef>
              <c:f>Dat_01!$B$165</c:f>
              <c:strCache>
                <c:ptCount val="1"/>
                <c:pt idx="0">
                  <c:v>Consumo Bombeo</c:v>
                </c:pt>
              </c:strCache>
            </c:strRef>
          </c:tx>
          <c:spPr>
            <a:solidFill>
              <a:srgbClr val="2C4D75"/>
            </a:solidFill>
            <a:ln>
              <a:noFill/>
            </a:ln>
          </c:spPr>
          <c:invertIfNegative val="0"/>
          <c:val>
            <c:numRef>
              <c:f>Dat_01!$C$165:$O$165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Dat_01!$B$159</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20394.400000000001</c:v>
                </c:pt>
                <c:pt idx="1">
                  <c:v>37380.1</c:v>
                </c:pt>
                <c:pt idx="2">
                  <c:v>38286.400000000001</c:v>
                </c:pt>
                <c:pt idx="3">
                  <c:v>85492.6</c:v>
                </c:pt>
                <c:pt idx="4">
                  <c:v>27832.9</c:v>
                </c:pt>
                <c:pt idx="5">
                  <c:v>46445.599999999999</c:v>
                </c:pt>
                <c:pt idx="6">
                  <c:v>67319.100000000006</c:v>
                </c:pt>
                <c:pt idx="7">
                  <c:v>66634.7</c:v>
                </c:pt>
                <c:pt idx="8">
                  <c:v>56267.3</c:v>
                </c:pt>
                <c:pt idx="9">
                  <c:v>51644.4</c:v>
                </c:pt>
                <c:pt idx="10">
                  <c:v>121172.4</c:v>
                </c:pt>
                <c:pt idx="11">
                  <c:v>45324.7</c:v>
                </c:pt>
                <c:pt idx="12">
                  <c:v>86223.9</c:v>
                </c:pt>
              </c:numCache>
            </c:numRef>
          </c:val>
          <c:extLst>
            <c:ext xmlns:c16="http://schemas.microsoft.com/office/drawing/2014/chart" uri="{C3380CC4-5D6E-409C-BE32-E72D297353CC}">
              <c16:uniqueId val="{0000000C-FEB9-4654-8A2F-05F064C4D2EE}"/>
            </c:ext>
          </c:extLst>
        </c:ser>
        <c:ser>
          <c:idx val="0"/>
          <c:order val="5"/>
          <c:tx>
            <c:strRef>
              <c:f>Dat_01!$B$153</c:f>
              <c:strCache>
                <c:ptCount val="1"/>
                <c:pt idx="0">
                  <c:v>Hidráulica</c:v>
                </c:pt>
              </c:strCache>
            </c:strRef>
          </c:tx>
          <c:spPr>
            <a:solidFill>
              <a:srgbClr val="0090D1"/>
            </a:solidFill>
            <a:ln w="25400">
              <a:noFill/>
            </a:ln>
          </c:spPr>
          <c:invertIfNegative val="0"/>
          <c:val>
            <c:numRef>
              <c:f>Dat_01!$C$153:$O$153</c:f>
              <c:numCache>
                <c:formatCode>#,##0;\(#,##0\)</c:formatCode>
                <c:ptCount val="13"/>
                <c:pt idx="0">
                  <c:v>842.9</c:v>
                </c:pt>
                <c:pt idx="1">
                  <c:v>1248.7</c:v>
                </c:pt>
                <c:pt idx="2">
                  <c:v>4248.1000000000004</c:v>
                </c:pt>
                <c:pt idx="3">
                  <c:v>4224.8999999999996</c:v>
                </c:pt>
                <c:pt idx="4">
                  <c:v>2604.4</c:v>
                </c:pt>
                <c:pt idx="5">
                  <c:v>1656.1</c:v>
                </c:pt>
                <c:pt idx="6">
                  <c:v>1728.9</c:v>
                </c:pt>
                <c:pt idx="7">
                  <c:v>4491.3999999999996</c:v>
                </c:pt>
                <c:pt idx="8">
                  <c:v>4948.3999999999996</c:v>
                </c:pt>
                <c:pt idx="9">
                  <c:v>4108.3</c:v>
                </c:pt>
                <c:pt idx="10">
                  <c:v>3881.8</c:v>
                </c:pt>
                <c:pt idx="11">
                  <c:v>2395.8000000000002</c:v>
                </c:pt>
                <c:pt idx="12">
                  <c:v>2369.3000000000002</c:v>
                </c:pt>
              </c:numCache>
            </c:numRef>
          </c:val>
          <c:extLst>
            <c:ext xmlns:c16="http://schemas.microsoft.com/office/drawing/2014/chart" uri="{C3380CC4-5D6E-409C-BE32-E72D297353CC}">
              <c16:uniqueId val="{0000000E-FEB9-4654-8A2F-05F064C4D2EE}"/>
            </c:ext>
          </c:extLst>
        </c:ser>
        <c:ser>
          <c:idx val="12"/>
          <c:order val="6"/>
          <c:tx>
            <c:strRef>
              <c:f>Dat_01!$B$155</c:f>
              <c:strCache>
                <c:ptCount val="1"/>
                <c:pt idx="0">
                  <c:v>Nuclear</c:v>
                </c:pt>
              </c:strCache>
              <c:extLst xmlns:c15="http://schemas.microsoft.com/office/drawing/2012/chart"/>
            </c:strRef>
          </c:tx>
          <c:spPr>
            <a:solidFill>
              <a:srgbClr val="324394"/>
            </a:solidFill>
          </c:spPr>
          <c:invertIfNegative val="0"/>
          <c:val>
            <c:numRef>
              <c:f>Dat_01!$C$155:$O$155</c:f>
              <c:numCache>
                <c:formatCode>#,##0;\(#,##0\)</c:formatCode>
                <c:ptCount val="13"/>
                <c:pt idx="0">
                  <c:v>0</c:v>
                </c:pt>
                <c:pt idx="1">
                  <c:v>47700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Dat_01!$B$163</c:f>
              <c:strCache>
                <c:ptCount val="1"/>
                <c:pt idx="0">
                  <c:v>Otras Renovables</c:v>
                </c:pt>
              </c:strCache>
            </c:strRef>
          </c:tx>
          <c:spPr>
            <a:solidFill>
              <a:srgbClr val="9A5CBC"/>
            </a:solidFill>
          </c:spPr>
          <c:invertIfNegative val="0"/>
          <c:val>
            <c:numRef>
              <c:f>Dat_01!$C$163:$O$163</c:f>
              <c:numCache>
                <c:formatCode>#,##0;\(#,##0\)</c:formatCode>
                <c:ptCount val="13"/>
                <c:pt idx="0">
                  <c:v>1487.4</c:v>
                </c:pt>
                <c:pt idx="1">
                  <c:v>505.5</c:v>
                </c:pt>
                <c:pt idx="2">
                  <c:v>635</c:v>
                </c:pt>
                <c:pt idx="3">
                  <c:v>2224</c:v>
                </c:pt>
                <c:pt idx="4">
                  <c:v>54.8</c:v>
                </c:pt>
                <c:pt idx="5">
                  <c:v>96.4</c:v>
                </c:pt>
                <c:pt idx="6">
                  <c:v>0</c:v>
                </c:pt>
                <c:pt idx="7">
                  <c:v>4999.6000000000004</c:v>
                </c:pt>
                <c:pt idx="8">
                  <c:v>2274.3000000000002</c:v>
                </c:pt>
                <c:pt idx="9">
                  <c:v>1971.9</c:v>
                </c:pt>
                <c:pt idx="10">
                  <c:v>9240.7999999999993</c:v>
                </c:pt>
                <c:pt idx="11">
                  <c:v>2766.6</c:v>
                </c:pt>
                <c:pt idx="12">
                  <c:v>4253.3</c:v>
                </c:pt>
              </c:numCache>
            </c:numRef>
          </c:val>
          <c:extLst>
            <c:ext xmlns:c16="http://schemas.microsoft.com/office/drawing/2014/chart" uri="{C3380CC4-5D6E-409C-BE32-E72D297353CC}">
              <c16:uniqueId val="{00000010-FEB9-4654-8A2F-05F064C4D2EE}"/>
            </c:ext>
          </c:extLst>
        </c:ser>
        <c:ser>
          <c:idx val="13"/>
          <c:order val="8"/>
          <c:tx>
            <c:strRef>
              <c:f>Dat_01!$B$164</c:f>
              <c:strCache>
                <c:ptCount val="1"/>
                <c:pt idx="0">
                  <c:v>Residuos no Renovables</c:v>
                </c:pt>
              </c:strCache>
            </c:strRef>
          </c:tx>
          <c:spPr>
            <a:solidFill>
              <a:srgbClr val="7F7F7F"/>
            </a:solidFill>
          </c:spPr>
          <c:invertIfNegative val="0"/>
          <c:val>
            <c:numRef>
              <c:f>Dat_01!$C$164:$O$164</c:f>
              <c:numCache>
                <c:formatCode>#,##0;\(#,##0\)</c:formatCode>
                <c:ptCount val="13"/>
                <c:pt idx="0">
                  <c:v>0</c:v>
                </c:pt>
                <c:pt idx="1">
                  <c:v>224</c:v>
                </c:pt>
                <c:pt idx="2">
                  <c:v>0</c:v>
                </c:pt>
                <c:pt idx="3">
                  <c:v>0</c:v>
                </c:pt>
                <c:pt idx="4">
                  <c:v>0</c:v>
                </c:pt>
                <c:pt idx="5">
                  <c:v>0</c:v>
                </c:pt>
                <c:pt idx="6">
                  <c:v>0</c:v>
                </c:pt>
                <c:pt idx="7">
                  <c:v>60.4</c:v>
                </c:pt>
                <c:pt idx="8">
                  <c:v>344</c:v>
                </c:pt>
                <c:pt idx="9">
                  <c:v>0</c:v>
                </c:pt>
                <c:pt idx="10">
                  <c:v>150</c:v>
                </c:pt>
                <c:pt idx="11">
                  <c:v>100</c:v>
                </c:pt>
                <c:pt idx="12">
                  <c:v>0</c:v>
                </c:pt>
              </c:numCache>
            </c:numRef>
          </c:val>
          <c:extLst>
            <c:ext xmlns:c16="http://schemas.microsoft.com/office/drawing/2014/chart" uri="{C3380CC4-5D6E-409C-BE32-E72D297353CC}">
              <c16:uniqueId val="{00000002-747D-4928-BF01-C2D72787D713}"/>
            </c:ext>
          </c:extLst>
        </c:ser>
        <c:ser>
          <c:idx val="5"/>
          <c:order val="9"/>
          <c:tx>
            <c:strRef>
              <c:f>Dat_01!$B$160</c:f>
              <c:strCache>
                <c:ptCount val="1"/>
                <c:pt idx="0">
                  <c:v>Solar fotovoltaica</c:v>
                </c:pt>
              </c:strCache>
            </c:strRef>
          </c:tx>
          <c:spPr>
            <a:solidFill>
              <a:srgbClr val="EE6112"/>
            </a:solidFill>
            <a:ln>
              <a:noFill/>
            </a:ln>
          </c:spPr>
          <c:invertIfNegative val="0"/>
          <c:val>
            <c:numRef>
              <c:f>Dat_01!$C$160:$O$160</c:f>
              <c:numCache>
                <c:formatCode>#,##0;\(#,##0\)</c:formatCode>
                <c:ptCount val="13"/>
                <c:pt idx="0">
                  <c:v>32658.5</c:v>
                </c:pt>
                <c:pt idx="1">
                  <c:v>20420.3</c:v>
                </c:pt>
                <c:pt idx="2">
                  <c:v>7180.3</c:v>
                </c:pt>
                <c:pt idx="3">
                  <c:v>1195.9000000000001</c:v>
                </c:pt>
                <c:pt idx="4">
                  <c:v>744.1</c:v>
                </c:pt>
                <c:pt idx="5">
                  <c:v>2304.9</c:v>
                </c:pt>
                <c:pt idx="6">
                  <c:v>3767.6</c:v>
                </c:pt>
                <c:pt idx="7">
                  <c:v>35531.300000000003</c:v>
                </c:pt>
                <c:pt idx="8">
                  <c:v>48396.6</c:v>
                </c:pt>
                <c:pt idx="9">
                  <c:v>30094.799999999999</c:v>
                </c:pt>
                <c:pt idx="10">
                  <c:v>57890.400000000001</c:v>
                </c:pt>
                <c:pt idx="11">
                  <c:v>34473.199999999997</c:v>
                </c:pt>
                <c:pt idx="12">
                  <c:v>19002.7</c:v>
                </c:pt>
              </c:numCache>
            </c:numRef>
          </c:val>
          <c:extLst>
            <c:ext xmlns:c16="http://schemas.microsoft.com/office/drawing/2014/chart" uri="{C3380CC4-5D6E-409C-BE32-E72D297353CC}">
              <c16:uniqueId val="{00000012-FEB9-4654-8A2F-05F064C4D2EE}"/>
            </c:ext>
          </c:extLst>
        </c:ser>
        <c:ser>
          <c:idx val="1"/>
          <c:order val="10"/>
          <c:tx>
            <c:strRef>
              <c:f>Dat_01!$B$161</c:f>
              <c:strCache>
                <c:ptCount val="1"/>
                <c:pt idx="0">
                  <c:v>Solar térmica</c:v>
                </c:pt>
              </c:strCache>
            </c:strRef>
          </c:tx>
          <c:spPr>
            <a:solidFill>
              <a:srgbClr val="FF0000"/>
            </a:solidFill>
          </c:spPr>
          <c:invertIfNegative val="0"/>
          <c:val>
            <c:numRef>
              <c:f>Dat_01!$C$161:$O$161</c:f>
              <c:numCache>
                <c:formatCode>#,##0;\(#,##0\)</c:formatCode>
                <c:ptCount val="13"/>
                <c:pt idx="0">
                  <c:v>8109.1</c:v>
                </c:pt>
                <c:pt idx="1">
                  <c:v>6894.4</c:v>
                </c:pt>
                <c:pt idx="2">
                  <c:v>3217.4</c:v>
                </c:pt>
                <c:pt idx="3">
                  <c:v>1363.4</c:v>
                </c:pt>
                <c:pt idx="4">
                  <c:v>3.7</c:v>
                </c:pt>
                <c:pt idx="5">
                  <c:v>236.9</c:v>
                </c:pt>
                <c:pt idx="6">
                  <c:v>161.80000000000001</c:v>
                </c:pt>
                <c:pt idx="7">
                  <c:v>6002.7</c:v>
                </c:pt>
                <c:pt idx="8">
                  <c:v>29937.8</c:v>
                </c:pt>
                <c:pt idx="9">
                  <c:v>30825.7</c:v>
                </c:pt>
                <c:pt idx="10">
                  <c:v>133882.4</c:v>
                </c:pt>
                <c:pt idx="11">
                  <c:v>45551.6</c:v>
                </c:pt>
                <c:pt idx="12">
                  <c:v>4378</c:v>
                </c:pt>
              </c:numCache>
            </c:numRef>
          </c:val>
          <c:extLst>
            <c:ext xmlns:c16="http://schemas.microsoft.com/office/drawing/2014/chart" uri="{C3380CC4-5D6E-409C-BE32-E72D297353CC}">
              <c16:uniqueId val="{00000014-FEB9-4654-8A2F-05F064C4D2EE}"/>
            </c:ext>
          </c:extLst>
        </c:ser>
        <c:ser>
          <c:idx val="2"/>
          <c:order val="11"/>
          <c:tx>
            <c:strRef>
              <c:f>Dat_01!$B$154</c:f>
              <c:strCache>
                <c:ptCount val="1"/>
                <c:pt idx="0">
                  <c:v>Turbinación bombeo</c:v>
                </c:pt>
              </c:strCache>
            </c:strRef>
          </c:tx>
          <c:spPr>
            <a:solidFill>
              <a:srgbClr val="95B3D7"/>
            </a:solidFill>
            <a:ln>
              <a:noFill/>
            </a:ln>
          </c:spPr>
          <c:invertIfNegative val="0"/>
          <c:val>
            <c:numRef>
              <c:f>Dat_01!$C$154:$O$154</c:f>
              <c:numCache>
                <c:formatCode>#,##0;\(#,##0\)</c:formatCode>
                <c:ptCount val="13"/>
                <c:pt idx="0">
                  <c:v>800</c:v>
                </c:pt>
                <c:pt idx="1">
                  <c:v>1200</c:v>
                </c:pt>
                <c:pt idx="2">
                  <c:v>1419.5</c:v>
                </c:pt>
                <c:pt idx="3">
                  <c:v>0</c:v>
                </c:pt>
                <c:pt idx="4">
                  <c:v>0</c:v>
                </c:pt>
                <c:pt idx="5">
                  <c:v>0</c:v>
                </c:pt>
                <c:pt idx="6">
                  <c:v>0</c:v>
                </c:pt>
                <c:pt idx="7">
                  <c:v>10002.299999999999</c:v>
                </c:pt>
                <c:pt idx="8">
                  <c:v>128</c:v>
                </c:pt>
                <c:pt idx="9">
                  <c:v>0</c:v>
                </c:pt>
                <c:pt idx="10">
                  <c:v>0</c:v>
                </c:pt>
                <c:pt idx="11">
                  <c:v>0</c:v>
                </c:pt>
                <c:pt idx="12">
                  <c:v>464</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95.368364084600003</c:v>
                </c:pt>
                <c:pt idx="1">
                  <c:v>79.384420510400005</c:v>
                </c:pt>
                <c:pt idx="2">
                  <c:v>57.842544938099998</c:v>
                </c:pt>
                <c:pt idx="3">
                  <c:v>63.624911561700003</c:v>
                </c:pt>
                <c:pt idx="4">
                  <c:v>63.564597305100001</c:v>
                </c:pt>
                <c:pt idx="5">
                  <c:v>33.649477987399997</c:v>
                </c:pt>
                <c:pt idx="6">
                  <c:v>10.5530860804</c:v>
                </c:pt>
                <c:pt idx="7">
                  <c:v>4.7369239244000001</c:v>
                </c:pt>
                <c:pt idx="8">
                  <c:v>18.889523041299999</c:v>
                </c:pt>
                <c:pt idx="9">
                  <c:v>35.244959526499997</c:v>
                </c:pt>
                <c:pt idx="10">
                  <c:v>63.399845817299997</c:v>
                </c:pt>
                <c:pt idx="11">
                  <c:v>86.755411534900006</c:v>
                </c:pt>
                <c:pt idx="12">
                  <c:v>67.661076487499997</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1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Dat_01!$B$183:$N$183</c:f>
              <c:numCache>
                <c:formatCode>#,##0</c:formatCode>
                <c:ptCount val="13"/>
                <c:pt idx="0">
                  <c:v>822.56562499999995</c:v>
                </c:pt>
                <c:pt idx="1">
                  <c:v>822.96510067115003</c:v>
                </c:pt>
                <c:pt idx="2">
                  <c:v>821.30416666667497</c:v>
                </c:pt>
                <c:pt idx="3">
                  <c:v>822.25806451612505</c:v>
                </c:pt>
                <c:pt idx="4">
                  <c:v>823.45698924732505</c:v>
                </c:pt>
                <c:pt idx="5">
                  <c:v>822.22126436782503</c:v>
                </c:pt>
                <c:pt idx="6">
                  <c:v>819.6032974428</c:v>
                </c:pt>
                <c:pt idx="7">
                  <c:v>822.60972222222495</c:v>
                </c:pt>
                <c:pt idx="8">
                  <c:v>860.69455645162498</c:v>
                </c:pt>
                <c:pt idx="9">
                  <c:v>909.48680555554995</c:v>
                </c:pt>
                <c:pt idx="10">
                  <c:v>895.87533602149995</c:v>
                </c:pt>
                <c:pt idx="11">
                  <c:v>896.60181451612505</c:v>
                </c:pt>
                <c:pt idx="12">
                  <c:v>904.94791666667504</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27.827466568599998</c:v>
                </c:pt>
                <c:pt idx="1">
                  <c:v>42.991678298499998</c:v>
                </c:pt>
                <c:pt idx="2">
                  <c:v>35.154613379099999</c:v>
                </c:pt>
                <c:pt idx="3">
                  <c:v>32.306981178199997</c:v>
                </c:pt>
                <c:pt idx="4">
                  <c:v>34.116235347100002</c:v>
                </c:pt>
                <c:pt idx="5">
                  <c:v>30.391169692999998</c:v>
                </c:pt>
                <c:pt idx="6">
                  <c:v>27.609046432</c:v>
                </c:pt>
                <c:pt idx="7">
                  <c:v>24.197217951799999</c:v>
                </c:pt>
                <c:pt idx="8">
                  <c:v>28.805418648700002</c:v>
                </c:pt>
                <c:pt idx="9">
                  <c:v>46.174349017799997</c:v>
                </c:pt>
                <c:pt idx="10">
                  <c:v>28.550093757900001</c:v>
                </c:pt>
                <c:pt idx="11">
                  <c:v>27.663462874099999</c:v>
                </c:pt>
                <c:pt idx="12">
                  <c:v>32.211216648799997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0.24133</cdr:x>
      <cdr:y>0.93906</cdr:y>
    </cdr:from>
    <cdr:to>
      <cdr:x>0.33176</cdr:x>
      <cdr:y>1</cdr:y>
    </cdr:to>
    <cdr:sp macro="" textlink="">
      <cdr:nvSpPr>
        <cdr:cNvPr id="3" name="CuadroTexto 1"/>
        <cdr:cNvSpPr txBox="1"/>
      </cdr:nvSpPr>
      <cdr:spPr>
        <a:xfrm xmlns:a="http://schemas.openxmlformats.org/drawingml/2006/main">
          <a:off x="1789470"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0.68542</cdr:x>
      <cdr:y>0.93484</cdr:y>
    </cdr:from>
    <cdr:to>
      <cdr:x>0.76523</cdr:x>
      <cdr:y>1</cdr:y>
    </cdr:to>
    <cdr:sp macro="" textlink="">
      <cdr:nvSpPr>
        <cdr:cNvPr id="4" name="CuadroTexto 1"/>
        <cdr:cNvSpPr txBox="1"/>
      </cdr:nvSpPr>
      <cdr:spPr>
        <a:xfrm xmlns:a="http://schemas.openxmlformats.org/drawingml/2006/main">
          <a:off x="5082385"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528856</xdr:colOff>
      <xdr:row>20</xdr:row>
      <xdr:rowOff>32400</xdr:rowOff>
    </xdr:from>
    <xdr:to>
      <xdr:col>4</xdr:col>
      <xdr:colOff>129916</xdr:colOff>
      <xdr:row>21</xdr:row>
      <xdr:rowOff>31873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3036458" y="3336992"/>
          <a:ext cx="359172" cy="164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0.33348</cdr:x>
      <cdr:y>0.14776</cdr:y>
    </cdr:from>
    <cdr:to>
      <cdr:x>0.33533</cdr:x>
      <cdr:y>0.84957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2538531" y="377435"/>
          <a:ext cx="14082"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0.63264</cdr:x>
      <cdr:y>0.93856</cdr:y>
    </cdr:from>
    <cdr:to>
      <cdr:x>0.6714</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815754" y="2397436"/>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0.33473</cdr:x>
      <cdr:y>0.07083</cdr:y>
    </cdr:from>
    <cdr:to>
      <cdr:x>0.33507</cdr:x>
      <cdr:y>0.7722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47997" y="178473"/>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0.33415</cdr:x>
      <cdr:y>0.12658</cdr:y>
    </cdr:from>
    <cdr:to>
      <cdr:x>0.33489</cdr:x>
      <cdr:y>0.81763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517865" y="293241"/>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0.16803</cdr:x>
      <cdr:y>0.89738</cdr:y>
    </cdr:from>
    <cdr:to>
      <cdr:x>0.24283</cdr:x>
      <cdr:y>0.97597</cdr:y>
    </cdr:to>
    <cdr:sp macro="" textlink="">
      <cdr:nvSpPr>
        <cdr:cNvPr id="4" name="CuadroTexto 1"/>
        <cdr:cNvSpPr txBox="1"/>
      </cdr:nvSpPr>
      <cdr:spPr>
        <a:xfrm xmlns:a="http://schemas.openxmlformats.org/drawingml/2006/main">
          <a:off x="1266133" y="2078915"/>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0.61907</cdr:x>
      <cdr:y>0.88838</cdr:y>
    </cdr:from>
    <cdr:to>
      <cdr:x>0.69387</cdr:x>
      <cdr:y>0.96697</cdr:y>
    </cdr:to>
    <cdr:sp macro="" textlink="">
      <cdr:nvSpPr>
        <cdr:cNvPr id="5" name="CuadroTexto 1"/>
        <cdr:cNvSpPr txBox="1"/>
      </cdr:nvSpPr>
      <cdr:spPr>
        <a:xfrm xmlns:a="http://schemas.openxmlformats.org/drawingml/2006/main">
          <a:off x="4664722" y="205806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0.33441</cdr:x>
      <cdr:y>0.03238</cdr:y>
    </cdr:from>
    <cdr:to>
      <cdr:x>0.33468</cdr:x>
      <cdr:y>0.86064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520158" y="55259"/>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0.3365</cdr:x>
      <cdr:y>0.11747</cdr:y>
    </cdr:from>
    <cdr:to>
      <cdr:x>0.33668</cdr:x>
      <cdr:y>0.8169</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548348" y="281184"/>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0.17268</cdr:x>
      <cdr:y>0.88383</cdr:y>
    </cdr:from>
    <cdr:to>
      <cdr:x>0.24749</cdr:x>
      <cdr:y>0.96161</cdr:y>
    </cdr:to>
    <cdr:sp macro="" textlink="">
      <cdr:nvSpPr>
        <cdr:cNvPr id="4" name="CuadroTexto 1"/>
        <cdr:cNvSpPr txBox="1"/>
      </cdr:nvSpPr>
      <cdr:spPr>
        <a:xfrm xmlns:a="http://schemas.openxmlformats.org/drawingml/2006/main">
          <a:off x="1307751" y="2115601"/>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0.61826</cdr:x>
      <cdr:y>0.89439</cdr:y>
    </cdr:from>
    <cdr:to>
      <cdr:x>0.69305</cdr:x>
      <cdr:y>0.97217</cdr:y>
    </cdr:to>
    <cdr:sp macro="" textlink="">
      <cdr:nvSpPr>
        <cdr:cNvPr id="5" name="CuadroTexto 1"/>
        <cdr:cNvSpPr txBox="1"/>
      </cdr:nvSpPr>
      <cdr:spPr>
        <a:xfrm xmlns:a="http://schemas.openxmlformats.org/drawingml/2006/main">
          <a:off x="4682174" y="2140880"/>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0.3359</cdr:x>
      <cdr:y>0.04236</cdr:y>
    </cdr:from>
    <cdr:to>
      <cdr:x>0.3359</cdr:x>
      <cdr:y>0.89171</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2544154" y="74907"/>
          <a:ext cx="0" cy="15019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0.33428</cdr:x>
      <cdr:y>0.09576</cdr:y>
    </cdr:from>
    <cdr:to>
      <cdr:x>0.33486</cdr:x>
      <cdr:y>0.81129</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10171" y="245192"/>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0.33398</cdr:x>
      <cdr:y>0.17894</cdr:y>
    </cdr:from>
    <cdr:to>
      <cdr:x>0.33466</cdr:x>
      <cdr:y>0.8621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507918" y="475889"/>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0.16551</cdr:x>
      <cdr:y>0.92955</cdr:y>
    </cdr:from>
    <cdr:to>
      <cdr:x>0.24031</cdr:x>
      <cdr:y>1</cdr:y>
    </cdr:to>
    <cdr:sp macro="" textlink="">
      <cdr:nvSpPr>
        <cdr:cNvPr id="4" name="CuadroTexto 1"/>
        <cdr:cNvSpPr txBox="1"/>
      </cdr:nvSpPr>
      <cdr:spPr>
        <a:xfrm xmlns:a="http://schemas.openxmlformats.org/drawingml/2006/main">
          <a:off x="1242875" y="2472126"/>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0.61708</cdr:x>
      <cdr:y>0.92955</cdr:y>
    </cdr:from>
    <cdr:to>
      <cdr:x>0.69186</cdr:x>
      <cdr:y>1</cdr:y>
    </cdr:to>
    <cdr:sp macro="" textlink="">
      <cdr:nvSpPr>
        <cdr:cNvPr id="5" name="CuadroTexto 1"/>
        <cdr:cNvSpPr txBox="1"/>
      </cdr:nvSpPr>
      <cdr:spPr>
        <a:xfrm xmlns:a="http://schemas.openxmlformats.org/drawingml/2006/main">
          <a:off x="4633812" y="2472126"/>
          <a:ext cx="56153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0.33747</cdr:x>
      <cdr:y>0.07591</cdr:y>
    </cdr:from>
    <cdr:to>
      <cdr:x>0.33756</cdr:x>
      <cdr:y>0.69924</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569203" y="242093"/>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0.33463</cdr:x>
      <cdr:y>0.08514</cdr:y>
    </cdr:from>
    <cdr:to>
      <cdr:x>0.33553</cdr:x>
      <cdr:y>0.84276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547567" y="213034"/>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0.23539</cdr:x>
      <cdr:y>0.92058</cdr:y>
    </cdr:from>
    <cdr:to>
      <cdr:x>0.31019</cdr:x>
      <cdr:y>0.99104</cdr:y>
    </cdr:to>
    <cdr:sp macro="" textlink="">
      <cdr:nvSpPr>
        <cdr:cNvPr id="4" name="CuadroTexto 1"/>
        <cdr:cNvSpPr txBox="1"/>
      </cdr:nvSpPr>
      <cdr:spPr>
        <a:xfrm xmlns:a="http://schemas.openxmlformats.org/drawingml/2006/main">
          <a:off x="1870310" y="2303369"/>
          <a:ext cx="594326"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0.69045</cdr:x>
      <cdr:y>0.92955</cdr:y>
    </cdr:from>
    <cdr:to>
      <cdr:x>0.76524</cdr:x>
      <cdr:y>1</cdr:y>
    </cdr:to>
    <cdr:sp macro="" textlink="">
      <cdr:nvSpPr>
        <cdr:cNvPr id="5" name="CuadroTexto 1"/>
        <cdr:cNvSpPr txBox="1"/>
      </cdr:nvSpPr>
      <cdr:spPr>
        <a:xfrm xmlns:a="http://schemas.openxmlformats.org/drawingml/2006/main">
          <a:off x="5486007" y="2325813"/>
          <a:ext cx="594247"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0.2728</cdr:x>
      <cdr:y>0.18817</cdr:y>
    </cdr:from>
    <cdr:to>
      <cdr:x>0.40229</cdr:x>
      <cdr:y>0.24917</cdr:y>
    </cdr:to>
    <cdr:sp macro="" textlink="">
      <cdr:nvSpPr>
        <cdr:cNvPr id="2" name="Texto 7"/>
        <cdr:cNvSpPr txBox="1">
          <a:spLocks xmlns:a="http://schemas.openxmlformats.org/drawingml/2006/main" noChangeArrowheads="1"/>
        </cdr:cNvSpPr>
      </cdr:nvSpPr>
      <cdr:spPr bwMode="auto">
        <a:xfrm xmlns:a="http://schemas.openxmlformats.org/drawingml/2006/main">
          <a:off x="1598918" y="483922"/>
          <a:ext cx="758947"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0.41122</cdr:x>
      <cdr:y>0.78668</cdr:y>
    </cdr:from>
    <cdr:to>
      <cdr:x>0.54072</cdr:x>
      <cdr:y>0.84767</cdr:y>
    </cdr:to>
    <cdr:sp macro="" textlink="">
      <cdr:nvSpPr>
        <cdr:cNvPr id="3" name="Texto 7"/>
        <cdr:cNvSpPr txBox="1">
          <a:spLocks xmlns:a="http://schemas.openxmlformats.org/drawingml/2006/main" noChangeArrowheads="1"/>
        </cdr:cNvSpPr>
      </cdr:nvSpPr>
      <cdr:spPr bwMode="auto">
        <a:xfrm xmlns:a="http://schemas.openxmlformats.org/drawingml/2006/main">
          <a:off x="2410184" y="2023138"/>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0.33394</cdr:x>
      <cdr:y>0.09431</cdr:y>
    </cdr:from>
    <cdr:to>
      <cdr:x>0.33593</cdr:x>
      <cdr:y>0.86015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7824" y="247773"/>
          <a:ext cx="14945"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0.1662</cdr:x>
      <cdr:y>0.92954</cdr:y>
    </cdr:from>
    <cdr:to>
      <cdr:x>0.24192</cdr:x>
      <cdr:y>1</cdr:y>
    </cdr:to>
    <cdr:sp macro="" textlink="">
      <cdr:nvSpPr>
        <cdr:cNvPr id="4" name="CuadroTexto 1"/>
        <cdr:cNvSpPr txBox="1"/>
      </cdr:nvSpPr>
      <cdr:spPr>
        <a:xfrm xmlns:a="http://schemas.openxmlformats.org/drawingml/2006/main">
          <a:off x="1248103"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0.6119</cdr:x>
      <cdr:y>0.92955</cdr:y>
    </cdr:from>
    <cdr:to>
      <cdr:x>0.68761</cdr:x>
      <cdr:y>1</cdr:y>
    </cdr:to>
    <cdr:sp macro="" textlink="">
      <cdr:nvSpPr>
        <cdr:cNvPr id="5" name="CuadroTexto 1"/>
        <cdr:cNvSpPr txBox="1"/>
      </cdr:nvSpPr>
      <cdr:spPr>
        <a:xfrm xmlns:a="http://schemas.openxmlformats.org/drawingml/2006/main">
          <a:off x="4595277"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0.33404</cdr:x>
      <cdr:y>0.0318</cdr:y>
    </cdr:from>
    <cdr:to>
      <cdr:x>0.33443</cdr:x>
      <cdr:y>0.79957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8575" y="82031"/>
          <a:ext cx="2929"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0.3273</cdr:x>
      <cdr:y>0.09107</cdr:y>
    </cdr:from>
    <cdr:to>
      <cdr:x>0.32758</cdr:x>
      <cdr:y>0.76428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39275" y="271485"/>
          <a:ext cx="2087" cy="20067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0.16263</cdr:x>
      <cdr:y>0.9232</cdr:y>
    </cdr:from>
    <cdr:to>
      <cdr:x>0.23835</cdr:x>
      <cdr:y>0.99366</cdr:y>
    </cdr:to>
    <cdr:sp macro="" textlink="">
      <cdr:nvSpPr>
        <cdr:cNvPr id="4" name="CuadroTexto 1"/>
        <cdr:cNvSpPr txBox="1"/>
      </cdr:nvSpPr>
      <cdr:spPr>
        <a:xfrm xmlns:a="http://schemas.openxmlformats.org/drawingml/2006/main">
          <a:off x="1213069" y="238440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0.61317</cdr:x>
      <cdr:y>0.92955</cdr:y>
    </cdr:from>
    <cdr:to>
      <cdr:x>0.68888</cdr:x>
      <cdr:y>1</cdr:y>
    </cdr:to>
    <cdr:sp macro="" textlink="">
      <cdr:nvSpPr>
        <cdr:cNvPr id="5" name="CuadroTexto 1"/>
        <cdr:cNvSpPr txBox="1"/>
      </cdr:nvSpPr>
      <cdr:spPr>
        <a:xfrm xmlns:a="http://schemas.openxmlformats.org/drawingml/2006/main">
          <a:off x="4573608"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0.33095</cdr:x>
      <cdr:y>0.17684</cdr:y>
    </cdr:from>
    <cdr:to>
      <cdr:x>0.33123</cdr:x>
      <cdr:y>0.85005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68532" y="456742"/>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0.35146</cdr:x>
      <cdr:y>0.19264</cdr:y>
    </cdr:from>
    <cdr:to>
      <cdr:x>0.35182</cdr:x>
      <cdr:y>0.87819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477283" y="590846"/>
          <a:ext cx="2537" cy="21026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0.19547</cdr:x>
      <cdr:y>0.93159</cdr:y>
    </cdr:from>
    <cdr:to>
      <cdr:x>0.27528</cdr:x>
      <cdr:y>0.99367</cdr:y>
    </cdr:to>
    <cdr:sp macro="" textlink="">
      <cdr:nvSpPr>
        <cdr:cNvPr id="5" name="CuadroTexto 1"/>
        <cdr:cNvSpPr txBox="1"/>
      </cdr:nvSpPr>
      <cdr:spPr>
        <a:xfrm xmlns:a="http://schemas.openxmlformats.org/drawingml/2006/main">
          <a:off x="1377774" y="2857233"/>
          <a:ext cx="56254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0.62573</cdr:x>
      <cdr:y>0.92316</cdr:y>
    </cdr:from>
    <cdr:to>
      <cdr:x>0.70554</cdr:x>
      <cdr:y>0.98524</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4410466" y="2831378"/>
          <a:ext cx="562540"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0.18812</cdr:x>
      <cdr:y>0.89999</cdr:y>
    </cdr:from>
    <cdr:to>
      <cdr:x>0.26792</cdr:x>
      <cdr:y>0.96349</cdr:y>
    </cdr:to>
    <cdr:sp macro="" textlink="">
      <cdr:nvSpPr>
        <cdr:cNvPr id="4" name="CuadroTexto 1"/>
        <cdr:cNvSpPr txBox="1"/>
      </cdr:nvSpPr>
      <cdr:spPr>
        <a:xfrm xmlns:a="http://schemas.openxmlformats.org/drawingml/2006/main">
          <a:off x="1325507" y="2698583"/>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0.35108</cdr:x>
      <cdr:y>0.17095</cdr:y>
    </cdr:from>
    <cdr:to>
      <cdr:x>0.35392</cdr:x>
      <cdr:y>0.85407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473761" y="512598"/>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0.62501</cdr:x>
      <cdr:y>0.92636</cdr:y>
    </cdr:from>
    <cdr:to>
      <cdr:x>0.70482</cdr:x>
      <cdr:y>0.98986</cdr:y>
    </cdr:to>
    <cdr:sp macro="" textlink="">
      <cdr:nvSpPr>
        <cdr:cNvPr id="5" name="CuadroTexto 1"/>
        <cdr:cNvSpPr txBox="1"/>
      </cdr:nvSpPr>
      <cdr:spPr>
        <a:xfrm xmlns:a="http://schemas.openxmlformats.org/drawingml/2006/main">
          <a:off x="4403866" y="2777653"/>
          <a:ext cx="56235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2368550</xdr:colOff>
      <xdr:row>10</xdr:row>
      <xdr:rowOff>88900</xdr:rowOff>
    </xdr:from>
    <xdr:to>
      <xdr:col>4</xdr:col>
      <xdr:colOff>2378075</xdr:colOff>
      <xdr:row>22</xdr:row>
      <xdr:rowOff>31750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235450" y="175577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342</v>
      </c>
    </row>
    <row r="2" spans="1:2">
      <c r="A2" t="s">
        <v>328</v>
      </c>
    </row>
    <row r="3" spans="1:2">
      <c r="A3" t="s">
        <v>337</v>
      </c>
    </row>
    <row r="4" spans="1:2">
      <c r="A4" t="s">
        <v>336</v>
      </c>
    </row>
    <row r="5" spans="1:2">
      <c r="A5" t="s">
        <v>335</v>
      </c>
    </row>
    <row r="6" spans="1:2">
      <c r="A6" t="s">
        <v>339</v>
      </c>
    </row>
    <row r="7" spans="1:2">
      <c r="A7" t="s">
        <v>338</v>
      </c>
    </row>
    <row r="8" spans="1:2">
      <c r="A8" t="s">
        <v>334</v>
      </c>
    </row>
    <row r="9" spans="1:2">
      <c r="A9" t="s">
        <v>333</v>
      </c>
    </row>
    <row r="10" spans="1:2">
      <c r="A10" t="s">
        <v>340</v>
      </c>
    </row>
    <row r="11" spans="1:2">
      <c r="A11" t="s">
        <v>332</v>
      </c>
    </row>
    <row r="12" spans="1:2">
      <c r="A12" t="s">
        <v>331</v>
      </c>
    </row>
    <row r="13" spans="1:2">
      <c r="A13" t="s">
        <v>329</v>
      </c>
    </row>
    <row r="14" spans="1:2">
      <c r="A14" t="s">
        <v>341</v>
      </c>
    </row>
    <row r="15" spans="1:2">
      <c r="A15" t="s">
        <v>343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2" zoomScale="98" zoomScaleNormal="98" workbookViewId="0">
      <selection activeCell="E31" sqref="E3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Septiembre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4" t="s">
        <v>36</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4"/>
      <c r="F10" s="32"/>
      <c r="G10" s="32"/>
    </row>
    <row r="11" spans="2:38">
      <c r="B11" s="254"/>
      <c r="F11" s="32"/>
      <c r="G11" s="32"/>
    </row>
    <row r="12" spans="2:38" s="31" customFormat="1">
      <c r="B12" s="254"/>
      <c r="F12" s="32"/>
      <c r="G12" s="32"/>
    </row>
    <row r="13" spans="2:38">
      <c r="B13" s="254"/>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E31" sqref="E3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Septiembre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4" t="s">
        <v>14</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54"/>
      <c r="F10" s="32"/>
      <c r="G10" s="32"/>
    </row>
    <row r="11" spans="2:37" s="31" customFormat="1">
      <c r="B11" s="254"/>
      <c r="F11" s="32"/>
      <c r="G11" s="32"/>
    </row>
    <row r="12" spans="2:37">
      <c r="B12" s="25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T36" sqref="T36"/>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Septiembre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4" t="s">
        <v>50</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4"/>
      <c r="F10" s="32"/>
      <c r="G10" s="32"/>
    </row>
    <row r="11" spans="2:37" s="31" customFormat="1">
      <c r="B11" s="254"/>
      <c r="F11" s="32"/>
      <c r="G11" s="32"/>
    </row>
    <row r="12" spans="2:37">
      <c r="B12" s="254"/>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O27" sqref="O27"/>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Septiembre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3" zoomScale="85" zoomScaleNormal="85" workbookViewId="0">
      <selection activeCell="Q32" sqref="Q3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Septiembre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4" t="s">
        <v>201</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7" t="s">
        <v>205</v>
      </c>
      <c r="D41" s="257"/>
      <c r="E41" s="257"/>
      <c r="F41" s="257"/>
      <c r="G41" s="257"/>
      <c r="H41" s="257"/>
      <c r="I41" s="257"/>
      <c r="J41" s="257"/>
      <c r="K41" s="257"/>
      <c r="L41" s="257"/>
      <c r="N41" s="68"/>
      <c r="Z41" s="68"/>
      <c r="AA41" s="68"/>
      <c r="AB41" s="73"/>
    </row>
    <row r="42" spans="1:28" ht="15">
      <c r="C42" s="257"/>
      <c r="D42" s="257"/>
      <c r="E42" s="257"/>
      <c r="F42" s="257"/>
      <c r="G42" s="257"/>
      <c r="H42" s="257"/>
      <c r="I42" s="257"/>
      <c r="J42" s="257"/>
      <c r="K42" s="257"/>
      <c r="L42" s="257"/>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4" zoomScaleNormal="100" workbookViewId="0">
      <selection activeCell="Q33" sqref="Q3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Septiembre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4" t="s">
        <v>202</v>
      </c>
      <c r="F7" s="32"/>
      <c r="G7" s="32"/>
      <c r="H7" s="33"/>
      <c r="I7" s="33"/>
      <c r="J7" s="33"/>
      <c r="K7" s="33"/>
      <c r="L7" s="33"/>
      <c r="M7" s="33"/>
      <c r="AB7" s="33"/>
      <c r="AC7" s="33"/>
      <c r="AD7" s="33"/>
      <c r="AE7" s="33"/>
      <c r="AF7" s="33"/>
      <c r="AG7" s="33"/>
      <c r="AH7" s="33"/>
      <c r="AI7" s="33"/>
      <c r="AJ7" s="33"/>
      <c r="AK7" s="33"/>
    </row>
    <row r="8" spans="2:37">
      <c r="B8" s="254"/>
      <c r="F8" s="32"/>
      <c r="G8" s="32"/>
      <c r="H8" s="33"/>
      <c r="I8" s="33"/>
      <c r="J8" s="33"/>
      <c r="K8" s="33"/>
      <c r="L8" s="33"/>
      <c r="M8" s="33"/>
      <c r="AB8" s="33"/>
      <c r="AC8" s="33"/>
      <c r="AD8" s="33"/>
      <c r="AE8" s="33"/>
      <c r="AF8" s="33"/>
      <c r="AG8" s="33"/>
      <c r="AH8" s="33"/>
      <c r="AI8" s="33"/>
      <c r="AJ8" s="33"/>
      <c r="AK8" s="33"/>
    </row>
    <row r="9" spans="2:37">
      <c r="B9" s="254"/>
      <c r="F9" s="32"/>
      <c r="G9" s="32"/>
    </row>
    <row r="10" spans="2:37" ht="16.5" customHeight="1">
      <c r="B10" s="254"/>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N27" sqref="N27"/>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Septiembre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4" t="s">
        <v>25</v>
      </c>
      <c r="F7" s="32"/>
      <c r="G7" s="32"/>
      <c r="H7" s="33"/>
      <c r="I7" s="33"/>
      <c r="J7" s="33"/>
      <c r="K7" s="33"/>
      <c r="L7" s="33"/>
      <c r="M7" s="33"/>
      <c r="AC7" s="33"/>
      <c r="AD7" s="33"/>
      <c r="AE7" s="33"/>
      <c r="AF7" s="33"/>
      <c r="AG7" s="33"/>
      <c r="AH7" s="33"/>
      <c r="AI7" s="33"/>
      <c r="AJ7" s="33"/>
      <c r="AK7" s="33"/>
      <c r="AL7" s="33"/>
    </row>
    <row r="8" spans="2:38">
      <c r="B8" s="254"/>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4"/>
      <c r="F10" s="32"/>
      <c r="G10" s="32"/>
    </row>
    <row r="11" spans="2:38" s="31" customFormat="1" ht="12.75" customHeight="1">
      <c r="B11" s="254"/>
      <c r="F11" s="32"/>
      <c r="G11" s="32"/>
    </row>
    <row r="12" spans="2:38" ht="12.75" customHeight="1">
      <c r="B12" s="254"/>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456" zoomScale="91" zoomScaleNormal="83" workbookViewId="0">
      <selection activeCell="B365" sqref="B365:O365"/>
    </sheetView>
  </sheetViews>
  <sheetFormatPr baseColWidth="10" defaultColWidth="5.5703125" defaultRowHeight="12.75"/>
  <cols>
    <col min="1" max="15" width="14.7109375" customWidth="1"/>
    <col min="16" max="16" width="16.140625" bestFit="1" customWidth="1"/>
    <col min="17" max="18" width="5.28515625" bestFit="1" customWidth="1"/>
    <col min="19" max="25" width="6" bestFit="1" customWidth="1"/>
    <col min="26" max="26" width="7.42578125" bestFit="1" customWidth="1"/>
    <col min="27" max="27" width="7.7109375" bestFit="1" customWidth="1"/>
    <col min="28" max="29" width="9.5703125" bestFit="1" customWidth="1"/>
    <col min="30" max="30" width="21.7109375" bestFit="1" customWidth="1"/>
    <col min="31" max="31" width="7.140625" customWidth="1"/>
    <col min="32" max="32" width="6.85546875" bestFit="1" customWidth="1"/>
    <col min="33" max="33" width="32.85546875" bestFit="1" customWidth="1"/>
    <col min="35" max="35" width="20.140625" bestFit="1" customWidth="1"/>
    <col min="37" max="37" width="33.42578125" bestFit="1" customWidth="1"/>
    <col min="39" max="39" width="20.7109375" bestFit="1" customWidth="1"/>
  </cols>
  <sheetData>
    <row r="1" spans="1:43" ht="14.25">
      <c r="A1" s="119" t="s">
        <v>131</v>
      </c>
    </row>
    <row r="2" spans="1:43" ht="14.25">
      <c r="A2" s="135" t="str">
        <f>MID(B5,6,LEN(B5))&amp;" "&amp;MID(B5,1,4)</f>
        <v>Septiembre 2024</v>
      </c>
      <c r="D2" s="66"/>
    </row>
    <row r="4" spans="1:43">
      <c r="A4" s="143" t="s">
        <v>28</v>
      </c>
      <c r="B4" s="258" t="s">
        <v>96</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row>
    <row r="5" spans="1:43">
      <c r="A5" s="143" t="s">
        <v>95</v>
      </c>
      <c r="B5" s="260" t="s">
        <v>327</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row>
    <row r="6" spans="1:43">
      <c r="A6" s="143" t="s">
        <v>123</v>
      </c>
      <c r="B6" s="249" t="s">
        <v>99</v>
      </c>
      <c r="C6" s="249" t="s">
        <v>100</v>
      </c>
      <c r="D6" s="249" t="s">
        <v>101</v>
      </c>
      <c r="E6" s="249" t="s">
        <v>102</v>
      </c>
      <c r="F6" s="249" t="s">
        <v>103</v>
      </c>
      <c r="G6" s="249" t="s">
        <v>104</v>
      </c>
      <c r="H6" s="249" t="s">
        <v>105</v>
      </c>
      <c r="I6" s="249" t="s">
        <v>106</v>
      </c>
      <c r="J6" s="249" t="s">
        <v>107</v>
      </c>
      <c r="K6" s="249" t="s">
        <v>108</v>
      </c>
      <c r="L6" s="249" t="s">
        <v>109</v>
      </c>
      <c r="M6" s="249" t="s">
        <v>110</v>
      </c>
      <c r="N6" s="249" t="s">
        <v>111</v>
      </c>
      <c r="O6" s="249" t="s">
        <v>112</v>
      </c>
      <c r="P6" s="249" t="s">
        <v>113</v>
      </c>
      <c r="Q6" s="249" t="s">
        <v>114</v>
      </c>
      <c r="R6" s="249" t="s">
        <v>115</v>
      </c>
      <c r="S6" s="249" t="s">
        <v>116</v>
      </c>
      <c r="T6" s="249" t="s">
        <v>117</v>
      </c>
      <c r="U6" s="249" t="s">
        <v>118</v>
      </c>
      <c r="V6" s="249" t="s">
        <v>119</v>
      </c>
      <c r="W6" s="249" t="s">
        <v>120</v>
      </c>
      <c r="X6" s="249" t="s">
        <v>121</v>
      </c>
      <c r="Y6" s="249" t="s">
        <v>122</v>
      </c>
      <c r="Z6" s="208"/>
      <c r="AA6" s="208" t="s">
        <v>97</v>
      </c>
      <c r="AB6" s="208" t="s">
        <v>98</v>
      </c>
      <c r="AC6" s="208" t="s">
        <v>252</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09"/>
      <c r="AA7" s="209"/>
      <c r="AB7" s="209"/>
      <c r="AC7" s="209"/>
      <c r="AD7" t="s">
        <v>224</v>
      </c>
      <c r="AG7" t="s">
        <v>234</v>
      </c>
      <c r="AI7" t="s">
        <v>235</v>
      </c>
      <c r="AK7" t="s">
        <v>238</v>
      </c>
      <c r="AM7" t="s">
        <v>239</v>
      </c>
    </row>
    <row r="8" spans="1:43">
      <c r="A8" s="145" t="s">
        <v>297</v>
      </c>
      <c r="B8" s="212">
        <v>134.02000000000001</v>
      </c>
      <c r="C8" s="212">
        <v>129.16</v>
      </c>
      <c r="D8" s="212">
        <v>125.92</v>
      </c>
      <c r="E8" s="212">
        <v>124.3</v>
      </c>
      <c r="F8" s="212">
        <v>122.68</v>
      </c>
      <c r="G8" s="212">
        <v>121.39</v>
      </c>
      <c r="H8" s="212">
        <v>124.09</v>
      </c>
      <c r="I8" s="212">
        <v>124.9</v>
      </c>
      <c r="J8" s="212">
        <v>113.08</v>
      </c>
      <c r="K8" s="212">
        <v>100.66</v>
      </c>
      <c r="L8" s="212">
        <v>78.5</v>
      </c>
      <c r="M8" s="212">
        <v>51.99</v>
      </c>
      <c r="N8" s="243">
        <v>43</v>
      </c>
      <c r="O8" s="243">
        <v>43</v>
      </c>
      <c r="P8" s="212">
        <v>46.53</v>
      </c>
      <c r="Q8" s="243">
        <v>30.1</v>
      </c>
      <c r="R8" s="243">
        <v>28.98</v>
      </c>
      <c r="S8" s="212">
        <v>81.37</v>
      </c>
      <c r="T8" s="212">
        <v>99.64</v>
      </c>
      <c r="U8" s="212">
        <v>123.6</v>
      </c>
      <c r="V8" s="212">
        <v>134.02000000000001</v>
      </c>
      <c r="W8" s="212">
        <v>141.74</v>
      </c>
      <c r="X8" s="212">
        <v>139.69999999999999</v>
      </c>
      <c r="Y8" s="212">
        <v>129.1</v>
      </c>
      <c r="Z8" s="211"/>
      <c r="AA8" s="211">
        <v>28.98</v>
      </c>
      <c r="AB8" s="211">
        <v>141.74</v>
      </c>
      <c r="AC8" s="211">
        <v>94.303161784400004</v>
      </c>
      <c r="AD8" s="189">
        <v>72.623319444444419</v>
      </c>
      <c r="AE8" s="203"/>
      <c r="AF8" s="201"/>
      <c r="AG8" s="197">
        <v>103.34044444444447</v>
      </c>
      <c r="AI8" s="201">
        <f>AD8/AG8-1</f>
        <v>-0.29724204463348802</v>
      </c>
      <c r="AK8" s="197">
        <v>91.054327956989169</v>
      </c>
      <c r="AM8" s="201">
        <f>AD8/AK8-1</f>
        <v>-0.20241770958159067</v>
      </c>
      <c r="AQ8" s="140">
        <v>1</v>
      </c>
    </row>
    <row r="9" spans="1:43">
      <c r="A9" s="145" t="s">
        <v>298</v>
      </c>
      <c r="B9" s="212">
        <v>132.16</v>
      </c>
      <c r="C9" s="212">
        <v>128</v>
      </c>
      <c r="D9" s="212">
        <v>125.14</v>
      </c>
      <c r="E9" s="212">
        <v>120</v>
      </c>
      <c r="F9" s="212">
        <v>118.5</v>
      </c>
      <c r="G9" s="212">
        <v>122.5</v>
      </c>
      <c r="H9" s="212">
        <v>127.14</v>
      </c>
      <c r="I9" s="212">
        <v>131.94999999999999</v>
      </c>
      <c r="J9" s="212">
        <v>131.52000000000001</v>
      </c>
      <c r="K9" s="212">
        <v>122.98</v>
      </c>
      <c r="L9" s="212">
        <v>109.9</v>
      </c>
      <c r="M9" s="212">
        <v>90.98</v>
      </c>
      <c r="N9" s="212">
        <v>89.87</v>
      </c>
      <c r="O9" s="212">
        <v>90.29</v>
      </c>
      <c r="P9" s="212">
        <v>90.08</v>
      </c>
      <c r="Q9" s="212">
        <v>91.9</v>
      </c>
      <c r="R9" s="212">
        <v>95.97</v>
      </c>
      <c r="S9" s="212">
        <v>104.9</v>
      </c>
      <c r="T9" s="212">
        <v>122.09</v>
      </c>
      <c r="U9" s="212">
        <v>130</v>
      </c>
      <c r="V9" s="212">
        <v>138</v>
      </c>
      <c r="W9" s="212">
        <v>134.53</v>
      </c>
      <c r="X9" s="212">
        <v>128.72</v>
      </c>
      <c r="Y9" s="212">
        <v>122.74</v>
      </c>
      <c r="Z9" s="211"/>
      <c r="AA9" s="211">
        <v>89.87</v>
      </c>
      <c r="AB9" s="211">
        <v>138</v>
      </c>
      <c r="AC9" s="211">
        <v>114.70884616390001</v>
      </c>
      <c r="AD9" s="66"/>
      <c r="AQ9" s="140">
        <v>2</v>
      </c>
    </row>
    <row r="10" spans="1:43">
      <c r="A10" s="145" t="s">
        <v>299</v>
      </c>
      <c r="B10" s="212">
        <v>124.9</v>
      </c>
      <c r="C10" s="212">
        <v>122.29</v>
      </c>
      <c r="D10" s="212">
        <v>114.51</v>
      </c>
      <c r="E10" s="212">
        <v>108</v>
      </c>
      <c r="F10" s="212">
        <v>105</v>
      </c>
      <c r="G10" s="212">
        <v>106.21</v>
      </c>
      <c r="H10" s="212">
        <v>115.74</v>
      </c>
      <c r="I10" s="212">
        <v>125</v>
      </c>
      <c r="J10" s="212">
        <v>133.94999999999999</v>
      </c>
      <c r="K10" s="212">
        <v>115.98</v>
      </c>
      <c r="L10" s="212">
        <v>98.88</v>
      </c>
      <c r="M10" s="212">
        <v>90.02</v>
      </c>
      <c r="N10" s="212">
        <v>85</v>
      </c>
      <c r="O10" s="212">
        <v>83.08</v>
      </c>
      <c r="P10" s="212">
        <v>84.68</v>
      </c>
      <c r="Q10" s="212">
        <v>87.2</v>
      </c>
      <c r="R10" s="212">
        <v>86.08</v>
      </c>
      <c r="S10" s="212">
        <v>90.49</v>
      </c>
      <c r="T10" s="212">
        <v>101.92</v>
      </c>
      <c r="U10" s="212">
        <v>120.94</v>
      </c>
      <c r="V10" s="212">
        <v>131</v>
      </c>
      <c r="W10" s="212">
        <v>130.01</v>
      </c>
      <c r="X10" s="212">
        <v>126.57</v>
      </c>
      <c r="Y10" s="212">
        <v>115.19</v>
      </c>
      <c r="Z10" s="211"/>
      <c r="AA10" s="211">
        <v>83.08</v>
      </c>
      <c r="AB10" s="211">
        <v>133.94999999999999</v>
      </c>
      <c r="AC10" s="211">
        <v>106.5718377761</v>
      </c>
      <c r="AQ10" s="140">
        <v>3</v>
      </c>
    </row>
    <row r="11" spans="1:43">
      <c r="A11" s="145" t="s">
        <v>300</v>
      </c>
      <c r="B11" s="212">
        <v>108.38</v>
      </c>
      <c r="C11" s="212">
        <v>99.35</v>
      </c>
      <c r="D11" s="212">
        <v>94.5</v>
      </c>
      <c r="E11" s="212">
        <v>101.31</v>
      </c>
      <c r="F11" s="212">
        <v>101</v>
      </c>
      <c r="G11" s="212">
        <v>98</v>
      </c>
      <c r="H11" s="212">
        <v>109.28</v>
      </c>
      <c r="I11" s="212">
        <v>122.3</v>
      </c>
      <c r="J11" s="212">
        <v>127.42</v>
      </c>
      <c r="K11" s="212">
        <v>117.99</v>
      </c>
      <c r="L11" s="212">
        <v>89.5</v>
      </c>
      <c r="M11" s="212">
        <v>79.959999999999994</v>
      </c>
      <c r="N11" s="212">
        <v>75.5</v>
      </c>
      <c r="O11" s="212">
        <v>76</v>
      </c>
      <c r="P11" s="212">
        <v>70.5</v>
      </c>
      <c r="Q11" s="212">
        <v>60.89</v>
      </c>
      <c r="R11" s="212">
        <v>51.99</v>
      </c>
      <c r="S11" s="212">
        <v>53.1</v>
      </c>
      <c r="T11" s="212">
        <v>76.989999999999995</v>
      </c>
      <c r="U11" s="212">
        <v>103</v>
      </c>
      <c r="V11" s="212">
        <v>122.81</v>
      </c>
      <c r="W11" s="212">
        <v>124.44</v>
      </c>
      <c r="X11" s="212">
        <v>117.14</v>
      </c>
      <c r="Y11" s="212">
        <v>108.55</v>
      </c>
      <c r="Z11" s="211"/>
      <c r="AA11" s="211">
        <v>51.99</v>
      </c>
      <c r="AB11" s="211">
        <v>127.42</v>
      </c>
      <c r="AC11" s="211">
        <v>91.973987371199996</v>
      </c>
      <c r="AQ11" s="140">
        <v>4</v>
      </c>
    </row>
    <row r="12" spans="1:43">
      <c r="A12" s="145" t="s">
        <v>301</v>
      </c>
      <c r="B12" s="212">
        <v>105</v>
      </c>
      <c r="C12" s="212">
        <v>105.7</v>
      </c>
      <c r="D12" s="212">
        <v>99.35</v>
      </c>
      <c r="E12" s="212">
        <v>99.41</v>
      </c>
      <c r="F12" s="212">
        <v>96</v>
      </c>
      <c r="G12" s="212">
        <v>100</v>
      </c>
      <c r="H12" s="212">
        <v>118.06</v>
      </c>
      <c r="I12" s="212">
        <v>124.9</v>
      </c>
      <c r="J12" s="212">
        <v>125</v>
      </c>
      <c r="K12" s="212">
        <v>113.42</v>
      </c>
      <c r="L12" s="212">
        <v>92.5</v>
      </c>
      <c r="M12" s="212">
        <v>84.81</v>
      </c>
      <c r="N12" s="212">
        <v>84.81</v>
      </c>
      <c r="O12" s="212">
        <v>84.81</v>
      </c>
      <c r="P12" s="212">
        <v>84.68</v>
      </c>
      <c r="Q12" s="212">
        <v>81.180000000000007</v>
      </c>
      <c r="R12" s="212">
        <v>84.55</v>
      </c>
      <c r="S12" s="212">
        <v>87.87</v>
      </c>
      <c r="T12" s="212">
        <v>105.7</v>
      </c>
      <c r="U12" s="212">
        <v>118.22</v>
      </c>
      <c r="V12" s="212">
        <v>129.69999999999999</v>
      </c>
      <c r="W12" s="212">
        <v>134</v>
      </c>
      <c r="X12" s="212">
        <v>124.9</v>
      </c>
      <c r="Y12" s="212">
        <v>118.22</v>
      </c>
      <c r="Z12" s="211"/>
      <c r="AA12" s="211">
        <v>81.180000000000007</v>
      </c>
      <c r="AB12" s="211">
        <v>134</v>
      </c>
      <c r="AC12" s="211">
        <v>102.8393731804</v>
      </c>
      <c r="AQ12" s="140">
        <v>5</v>
      </c>
    </row>
    <row r="13" spans="1:43">
      <c r="A13" s="145" t="s">
        <v>302</v>
      </c>
      <c r="B13" s="212">
        <v>111.98</v>
      </c>
      <c r="C13" s="212">
        <v>109</v>
      </c>
      <c r="D13" s="212">
        <v>103.35</v>
      </c>
      <c r="E13" s="212">
        <v>98</v>
      </c>
      <c r="F13" s="212">
        <v>97.55</v>
      </c>
      <c r="G13" s="212">
        <v>98</v>
      </c>
      <c r="H13" s="212">
        <v>110</v>
      </c>
      <c r="I13" s="212">
        <v>116</v>
      </c>
      <c r="J13" s="212">
        <v>115</v>
      </c>
      <c r="K13" s="212">
        <v>102.25</v>
      </c>
      <c r="L13" s="212">
        <v>85.23</v>
      </c>
      <c r="M13" s="212">
        <v>74.989999999999995</v>
      </c>
      <c r="N13" s="212">
        <v>63.37</v>
      </c>
      <c r="O13" s="212">
        <v>46.22</v>
      </c>
      <c r="P13" s="243">
        <v>31.2</v>
      </c>
      <c r="Q13" s="243">
        <v>26.85</v>
      </c>
      <c r="R13" s="210">
        <v>19.559999999999999</v>
      </c>
      <c r="S13" s="243">
        <v>43.6</v>
      </c>
      <c r="T13" s="212">
        <v>70.2</v>
      </c>
      <c r="U13" s="212">
        <v>104.41</v>
      </c>
      <c r="V13" s="212">
        <v>114.81</v>
      </c>
      <c r="W13" s="212">
        <v>118.2</v>
      </c>
      <c r="X13" s="212">
        <v>112.46</v>
      </c>
      <c r="Y13" s="212">
        <v>109.14</v>
      </c>
      <c r="Z13" s="211"/>
      <c r="AA13" s="211">
        <v>19.559999999999999</v>
      </c>
      <c r="AB13" s="211">
        <v>118.2</v>
      </c>
      <c r="AC13" s="211">
        <v>81.0513069653</v>
      </c>
      <c r="AQ13" s="140">
        <v>6</v>
      </c>
    </row>
    <row r="14" spans="1:43">
      <c r="A14" s="145" t="s">
        <v>303</v>
      </c>
      <c r="B14" s="212">
        <v>117.32</v>
      </c>
      <c r="C14" s="212">
        <v>116.42</v>
      </c>
      <c r="D14" s="212">
        <v>103.35</v>
      </c>
      <c r="E14" s="212">
        <v>103.35</v>
      </c>
      <c r="F14" s="212">
        <v>101.12</v>
      </c>
      <c r="G14" s="212">
        <v>99.34</v>
      </c>
      <c r="H14" s="212">
        <v>104</v>
      </c>
      <c r="I14" s="212">
        <v>108.83</v>
      </c>
      <c r="J14" s="212">
        <v>104.68</v>
      </c>
      <c r="K14" s="212">
        <v>77.95</v>
      </c>
      <c r="L14" s="212">
        <v>51.52</v>
      </c>
      <c r="M14" s="210">
        <v>3.32</v>
      </c>
      <c r="N14" s="210">
        <v>3.32</v>
      </c>
      <c r="O14" s="210">
        <v>1.02</v>
      </c>
      <c r="P14" s="210">
        <v>0.44</v>
      </c>
      <c r="Q14" s="210">
        <v>3.32</v>
      </c>
      <c r="R14" s="210">
        <v>14</v>
      </c>
      <c r="S14" s="212">
        <v>50.24</v>
      </c>
      <c r="T14" s="212">
        <v>83.32</v>
      </c>
      <c r="U14" s="212">
        <v>116.51</v>
      </c>
      <c r="V14" s="212">
        <v>136.07</v>
      </c>
      <c r="W14" s="212">
        <v>148.56</v>
      </c>
      <c r="X14" s="212">
        <v>124.44</v>
      </c>
      <c r="Y14" s="212">
        <v>123.86</v>
      </c>
      <c r="Z14" s="211"/>
      <c r="AA14" s="211">
        <v>0.44</v>
      </c>
      <c r="AB14" s="211">
        <v>148.56</v>
      </c>
      <c r="AC14" s="211">
        <v>69.103655295099998</v>
      </c>
      <c r="AQ14" s="140">
        <v>7</v>
      </c>
    </row>
    <row r="15" spans="1:43">
      <c r="A15" s="145" t="s">
        <v>304</v>
      </c>
      <c r="B15" s="212">
        <v>120.86</v>
      </c>
      <c r="C15" s="212">
        <v>117.14</v>
      </c>
      <c r="D15" s="212">
        <v>114.32</v>
      </c>
      <c r="E15" s="212">
        <v>110</v>
      </c>
      <c r="F15" s="212">
        <v>107.8</v>
      </c>
      <c r="G15" s="212">
        <v>106.87</v>
      </c>
      <c r="H15" s="212">
        <v>110.11</v>
      </c>
      <c r="I15" s="212">
        <v>113.3</v>
      </c>
      <c r="J15" s="212">
        <v>108.04</v>
      </c>
      <c r="K15" s="212">
        <v>78.87</v>
      </c>
      <c r="L15" s="210">
        <v>8.2899999999999991</v>
      </c>
      <c r="M15" s="210">
        <v>0.44</v>
      </c>
      <c r="N15" s="210">
        <v>0.04</v>
      </c>
      <c r="O15" s="236">
        <v>0</v>
      </c>
      <c r="P15" s="236">
        <v>0</v>
      </c>
      <c r="Q15" s="236">
        <v>0</v>
      </c>
      <c r="R15" s="236">
        <v>0</v>
      </c>
      <c r="S15" s="236">
        <v>0</v>
      </c>
      <c r="T15" s="210">
        <v>3.32</v>
      </c>
      <c r="U15" s="212">
        <v>76.16</v>
      </c>
      <c r="V15" s="212">
        <v>106.87</v>
      </c>
      <c r="W15" s="212">
        <v>117.22</v>
      </c>
      <c r="X15" s="212">
        <v>116.42</v>
      </c>
      <c r="Y15" s="212">
        <v>110.11</v>
      </c>
      <c r="Z15" s="211"/>
      <c r="AA15" s="211">
        <v>0</v>
      </c>
      <c r="AB15" s="211">
        <v>120.86</v>
      </c>
      <c r="AC15" s="211">
        <v>57.118961263700001</v>
      </c>
      <c r="AQ15" s="140">
        <v>8</v>
      </c>
    </row>
    <row r="16" spans="1:43">
      <c r="A16" s="145" t="s">
        <v>305</v>
      </c>
      <c r="B16" s="212">
        <v>115.7</v>
      </c>
      <c r="C16" s="212">
        <v>110.3</v>
      </c>
      <c r="D16" s="212">
        <v>108.75</v>
      </c>
      <c r="E16" s="212">
        <v>108.66</v>
      </c>
      <c r="F16" s="212">
        <v>100.2</v>
      </c>
      <c r="G16" s="212">
        <v>108.36</v>
      </c>
      <c r="H16" s="212">
        <v>116.42</v>
      </c>
      <c r="I16" s="212">
        <v>120</v>
      </c>
      <c r="J16" s="212">
        <v>120</v>
      </c>
      <c r="K16" s="212">
        <v>115.1</v>
      </c>
      <c r="L16" s="212">
        <v>72.2</v>
      </c>
      <c r="M16" s="212">
        <v>50.24</v>
      </c>
      <c r="N16" s="212">
        <v>45.31</v>
      </c>
      <c r="O16" s="243">
        <v>40.5</v>
      </c>
      <c r="P16" s="210">
        <v>20</v>
      </c>
      <c r="Q16" s="210">
        <v>6.12</v>
      </c>
      <c r="R16" s="210">
        <v>9.5399999999999991</v>
      </c>
      <c r="S16" s="243">
        <v>40.5</v>
      </c>
      <c r="T16" s="212">
        <v>71.94</v>
      </c>
      <c r="U16" s="212">
        <v>116.5</v>
      </c>
      <c r="V16" s="212">
        <v>121.56</v>
      </c>
      <c r="W16" s="212">
        <v>132</v>
      </c>
      <c r="X16" s="212">
        <v>118.3</v>
      </c>
      <c r="Y16" s="212">
        <v>108.66</v>
      </c>
      <c r="Z16" s="211"/>
      <c r="AA16" s="211">
        <v>6.12</v>
      </c>
      <c r="AB16" s="211">
        <v>132</v>
      </c>
      <c r="AC16" s="211">
        <v>77.480119989499997</v>
      </c>
      <c r="AQ16" s="140">
        <v>9</v>
      </c>
    </row>
    <row r="17" spans="1:43">
      <c r="A17" s="145" t="s">
        <v>306</v>
      </c>
      <c r="B17" s="212">
        <v>110.32</v>
      </c>
      <c r="C17" s="212">
        <v>103.83</v>
      </c>
      <c r="D17" s="212">
        <v>105</v>
      </c>
      <c r="E17" s="212">
        <v>103.92</v>
      </c>
      <c r="F17" s="212">
        <v>99.42</v>
      </c>
      <c r="G17" s="212">
        <v>100.01</v>
      </c>
      <c r="H17" s="212">
        <v>109.47</v>
      </c>
      <c r="I17" s="212">
        <v>112.64</v>
      </c>
      <c r="J17" s="212">
        <v>114.59</v>
      </c>
      <c r="K17" s="212">
        <v>100</v>
      </c>
      <c r="L17" s="212">
        <v>62</v>
      </c>
      <c r="M17" s="243">
        <v>30.1</v>
      </c>
      <c r="N17" s="210">
        <v>14.74</v>
      </c>
      <c r="O17" s="210">
        <v>19.559999999999999</v>
      </c>
      <c r="P17" s="210">
        <v>6.31</v>
      </c>
      <c r="Q17" s="210">
        <v>3.04</v>
      </c>
      <c r="R17" s="210">
        <v>4.59</v>
      </c>
      <c r="S17" s="243">
        <v>28.41</v>
      </c>
      <c r="T17" s="212">
        <v>53.1</v>
      </c>
      <c r="U17" s="212">
        <v>99.42</v>
      </c>
      <c r="V17" s="212">
        <v>109</v>
      </c>
      <c r="W17" s="212">
        <v>111.74</v>
      </c>
      <c r="X17" s="212">
        <v>105.5</v>
      </c>
      <c r="Y17" s="212">
        <v>98.42</v>
      </c>
      <c r="Z17" s="211"/>
      <c r="AA17" s="211">
        <v>3.04</v>
      </c>
      <c r="AB17" s="211">
        <v>114.59</v>
      </c>
      <c r="AC17" s="211">
        <v>64.6477227707</v>
      </c>
      <c r="AQ17" s="140">
        <v>10</v>
      </c>
    </row>
    <row r="18" spans="1:43">
      <c r="A18" s="145" t="s">
        <v>307</v>
      </c>
      <c r="B18" s="212">
        <v>80.89</v>
      </c>
      <c r="C18" s="212">
        <v>77.75</v>
      </c>
      <c r="D18" s="212">
        <v>71</v>
      </c>
      <c r="E18" s="212">
        <v>79.77</v>
      </c>
      <c r="F18" s="212">
        <v>84.84</v>
      </c>
      <c r="G18" s="212">
        <v>89.84</v>
      </c>
      <c r="H18" s="212">
        <v>97.63</v>
      </c>
      <c r="I18" s="212">
        <v>102.98</v>
      </c>
      <c r="J18" s="212">
        <v>103.7</v>
      </c>
      <c r="K18" s="212">
        <v>94.44</v>
      </c>
      <c r="L18" s="212">
        <v>70.099999999999994</v>
      </c>
      <c r="M18" s="212">
        <v>51.99</v>
      </c>
      <c r="N18" s="212">
        <v>50.24</v>
      </c>
      <c r="O18" s="212">
        <v>47.7</v>
      </c>
      <c r="P18" s="212">
        <v>45</v>
      </c>
      <c r="Q18" s="210">
        <v>23.75</v>
      </c>
      <c r="R18" s="210">
        <v>15</v>
      </c>
      <c r="S18" s="212">
        <v>50.24</v>
      </c>
      <c r="T18" s="212">
        <v>76.16</v>
      </c>
      <c r="U18" s="212">
        <v>99.95</v>
      </c>
      <c r="V18" s="212">
        <v>113</v>
      </c>
      <c r="W18" s="212">
        <v>110.04</v>
      </c>
      <c r="X18" s="212">
        <v>102.98</v>
      </c>
      <c r="Y18" s="212">
        <v>102.74</v>
      </c>
      <c r="Z18" s="211"/>
      <c r="AA18" s="211">
        <v>15</v>
      </c>
      <c r="AB18" s="211">
        <v>113</v>
      </c>
      <c r="AC18" s="211">
        <v>70.849828254200006</v>
      </c>
      <c r="AQ18" s="140">
        <v>11</v>
      </c>
    </row>
    <row r="19" spans="1:43">
      <c r="A19" s="145" t="s">
        <v>308</v>
      </c>
      <c r="B19" s="212">
        <v>100.64</v>
      </c>
      <c r="C19" s="212">
        <v>99.83</v>
      </c>
      <c r="D19" s="212">
        <v>99.5</v>
      </c>
      <c r="E19" s="212">
        <v>95</v>
      </c>
      <c r="F19" s="212">
        <v>95.42</v>
      </c>
      <c r="G19" s="212">
        <v>98.42</v>
      </c>
      <c r="H19" s="212">
        <v>100.64</v>
      </c>
      <c r="I19" s="212">
        <v>113.55</v>
      </c>
      <c r="J19" s="212">
        <v>116.37</v>
      </c>
      <c r="K19" s="212">
        <v>101.46</v>
      </c>
      <c r="L19" s="212">
        <v>73.599999999999994</v>
      </c>
      <c r="M19" s="212">
        <v>52.1</v>
      </c>
      <c r="N19" s="243">
        <v>44.3</v>
      </c>
      <c r="O19" s="210">
        <v>14</v>
      </c>
      <c r="P19" s="210">
        <v>3.6</v>
      </c>
      <c r="Q19" s="210">
        <v>3.32</v>
      </c>
      <c r="R19" s="210">
        <v>3.32</v>
      </c>
      <c r="S19" s="210">
        <v>3.6</v>
      </c>
      <c r="T19" s="212">
        <v>51.55</v>
      </c>
      <c r="U19" s="212">
        <v>80</v>
      </c>
      <c r="V19" s="212">
        <v>101.46</v>
      </c>
      <c r="W19" s="212">
        <v>100.5</v>
      </c>
      <c r="X19" s="212">
        <v>93.53</v>
      </c>
      <c r="Y19" s="212">
        <v>87.35</v>
      </c>
      <c r="Z19" s="211"/>
      <c r="AA19" s="211">
        <v>3.32</v>
      </c>
      <c r="AB19" s="211">
        <v>116.37</v>
      </c>
      <c r="AC19" s="211">
        <v>62.358194423599997</v>
      </c>
      <c r="AQ19" s="140">
        <v>12</v>
      </c>
    </row>
    <row r="20" spans="1:43">
      <c r="A20" s="145" t="s">
        <v>309</v>
      </c>
      <c r="B20" s="212">
        <v>78.89</v>
      </c>
      <c r="C20" s="212">
        <v>75.05</v>
      </c>
      <c r="D20" s="212">
        <v>74.760000000000005</v>
      </c>
      <c r="E20" s="212">
        <v>74.760000000000005</v>
      </c>
      <c r="F20" s="212">
        <v>67.52</v>
      </c>
      <c r="G20" s="212">
        <v>62.2</v>
      </c>
      <c r="H20" s="212">
        <v>76.5</v>
      </c>
      <c r="I20" s="212">
        <v>89.74</v>
      </c>
      <c r="J20" s="212">
        <v>85.23</v>
      </c>
      <c r="K20" s="212">
        <v>61</v>
      </c>
      <c r="L20" s="210">
        <v>3.32</v>
      </c>
      <c r="M20" s="236">
        <v>0</v>
      </c>
      <c r="N20" s="236">
        <v>0</v>
      </c>
      <c r="O20" s="236">
        <v>0</v>
      </c>
      <c r="P20" s="236">
        <v>0</v>
      </c>
      <c r="Q20" s="236">
        <v>0</v>
      </c>
      <c r="R20" s="236">
        <v>0</v>
      </c>
      <c r="S20" s="236">
        <v>0</v>
      </c>
      <c r="T20" s="210">
        <v>2</v>
      </c>
      <c r="U20" s="212">
        <v>62.07</v>
      </c>
      <c r="V20" s="212">
        <v>89.98</v>
      </c>
      <c r="W20" s="212">
        <v>85.29</v>
      </c>
      <c r="X20" s="212">
        <v>80.010000000000005</v>
      </c>
      <c r="Y20" s="212">
        <v>62.2</v>
      </c>
      <c r="Z20" s="211"/>
      <c r="AA20" s="211">
        <v>0</v>
      </c>
      <c r="AB20" s="211">
        <v>89.98</v>
      </c>
      <c r="AC20" s="211">
        <v>39.002143453099997</v>
      </c>
      <c r="AQ20" s="140">
        <v>13</v>
      </c>
    </row>
    <row r="21" spans="1:43">
      <c r="A21" s="145" t="s">
        <v>310</v>
      </c>
      <c r="B21" s="212">
        <v>55.2</v>
      </c>
      <c r="C21" s="212">
        <v>54</v>
      </c>
      <c r="D21" s="212">
        <v>49.86</v>
      </c>
      <c r="E21" s="212">
        <v>45.98</v>
      </c>
      <c r="F21" s="212">
        <v>49.08</v>
      </c>
      <c r="G21" s="212">
        <v>48.88</v>
      </c>
      <c r="H21" s="212">
        <v>55.07</v>
      </c>
      <c r="I21" s="212">
        <v>65</v>
      </c>
      <c r="J21" s="212">
        <v>68.86</v>
      </c>
      <c r="K21" s="212">
        <v>56.18</v>
      </c>
      <c r="L21" s="210">
        <v>10</v>
      </c>
      <c r="M21" s="210">
        <v>0.44</v>
      </c>
      <c r="N21" s="210">
        <v>0.44</v>
      </c>
      <c r="O21" s="210">
        <v>0.79</v>
      </c>
      <c r="P21" s="210">
        <v>0.44</v>
      </c>
      <c r="Q21" s="210">
        <v>0.44</v>
      </c>
      <c r="R21" s="210">
        <v>0.44</v>
      </c>
      <c r="S21" s="210">
        <v>11.25</v>
      </c>
      <c r="T21" s="212">
        <v>55.2</v>
      </c>
      <c r="U21" s="212">
        <v>89.55</v>
      </c>
      <c r="V21" s="212">
        <v>101.72</v>
      </c>
      <c r="W21" s="212">
        <v>106.85</v>
      </c>
      <c r="X21" s="212">
        <v>87.99</v>
      </c>
      <c r="Y21" s="212">
        <v>80.98</v>
      </c>
      <c r="Z21" s="211"/>
      <c r="AA21" s="211">
        <v>0.44</v>
      </c>
      <c r="AB21" s="211">
        <v>106.85</v>
      </c>
      <c r="AC21" s="211">
        <v>40.294737305799998</v>
      </c>
      <c r="AQ21" s="140">
        <v>14</v>
      </c>
    </row>
    <row r="22" spans="1:43">
      <c r="A22" s="145" t="s">
        <v>311</v>
      </c>
      <c r="B22" s="212">
        <v>61.7</v>
      </c>
      <c r="C22" s="212">
        <v>60.5</v>
      </c>
      <c r="D22" s="212">
        <v>55.3</v>
      </c>
      <c r="E22" s="212">
        <v>54.05</v>
      </c>
      <c r="F22" s="212">
        <v>54.05</v>
      </c>
      <c r="G22" s="212">
        <v>54.16</v>
      </c>
      <c r="H22" s="212">
        <v>54.05</v>
      </c>
      <c r="I22" s="212">
        <v>54.05</v>
      </c>
      <c r="J22" s="243">
        <v>32.479999999999997</v>
      </c>
      <c r="K22" s="210">
        <v>6</v>
      </c>
      <c r="L22" s="236">
        <v>0</v>
      </c>
      <c r="M22" s="210">
        <v>-0.01</v>
      </c>
      <c r="N22" s="210">
        <v>-0.25</v>
      </c>
      <c r="O22" s="210">
        <v>-0.01</v>
      </c>
      <c r="P22" s="210">
        <v>-0.36</v>
      </c>
      <c r="Q22" s="210">
        <v>-0.36</v>
      </c>
      <c r="R22" s="210">
        <v>-0.36</v>
      </c>
      <c r="S22" s="210">
        <v>-0.01</v>
      </c>
      <c r="T22" s="210">
        <v>0.44</v>
      </c>
      <c r="U22" s="212">
        <v>49.85</v>
      </c>
      <c r="V22" s="212">
        <v>65.08</v>
      </c>
      <c r="W22" s="212">
        <v>64.39</v>
      </c>
      <c r="X22" s="212">
        <v>60.74</v>
      </c>
      <c r="Y22" s="212">
        <v>54.91</v>
      </c>
      <c r="Z22" s="211"/>
      <c r="AA22" s="211">
        <v>-0.36</v>
      </c>
      <c r="AB22" s="211">
        <v>65.08</v>
      </c>
      <c r="AC22" s="211">
        <v>28.615425099100001</v>
      </c>
      <c r="AQ22" s="140">
        <v>15</v>
      </c>
    </row>
    <row r="23" spans="1:43">
      <c r="A23" s="145" t="s">
        <v>312</v>
      </c>
      <c r="B23" s="243">
        <v>30</v>
      </c>
      <c r="C23" s="210">
        <v>13.03</v>
      </c>
      <c r="D23" s="210">
        <v>15</v>
      </c>
      <c r="E23" s="210">
        <v>11.85</v>
      </c>
      <c r="F23" s="210">
        <v>6</v>
      </c>
      <c r="G23" s="210">
        <v>10.15</v>
      </c>
      <c r="H23" s="243">
        <v>41.1</v>
      </c>
      <c r="I23" s="212">
        <v>60</v>
      </c>
      <c r="J23" s="212">
        <v>60</v>
      </c>
      <c r="K23" s="212">
        <v>45.1</v>
      </c>
      <c r="L23" s="210">
        <v>3.32</v>
      </c>
      <c r="M23" s="236">
        <v>0</v>
      </c>
      <c r="N23" s="236">
        <v>0</v>
      </c>
      <c r="O23" s="236">
        <v>0</v>
      </c>
      <c r="P23" s="236">
        <v>0</v>
      </c>
      <c r="Q23" s="236">
        <v>0</v>
      </c>
      <c r="R23" s="236">
        <v>0</v>
      </c>
      <c r="S23" s="210">
        <v>0.06</v>
      </c>
      <c r="T23" s="243">
        <v>29.68</v>
      </c>
      <c r="U23" s="212">
        <v>60.98</v>
      </c>
      <c r="V23" s="212">
        <v>88.4</v>
      </c>
      <c r="W23" s="212">
        <v>81.819999999999993</v>
      </c>
      <c r="X23" s="212">
        <v>55.92</v>
      </c>
      <c r="Y23" s="243">
        <v>40.06</v>
      </c>
      <c r="Z23" s="211"/>
      <c r="AA23" s="211">
        <v>0</v>
      </c>
      <c r="AB23" s="211">
        <v>88.4</v>
      </c>
      <c r="AC23" s="211">
        <v>24.643110063999998</v>
      </c>
      <c r="AQ23" s="140">
        <v>16</v>
      </c>
    </row>
    <row r="24" spans="1:43">
      <c r="A24" s="145" t="s">
        <v>313</v>
      </c>
      <c r="B24" s="243">
        <v>26.3</v>
      </c>
      <c r="C24" s="210">
        <v>12.18</v>
      </c>
      <c r="D24" s="210">
        <v>6.99</v>
      </c>
      <c r="E24" s="210">
        <v>9.24</v>
      </c>
      <c r="F24" s="210">
        <v>5.15</v>
      </c>
      <c r="G24" s="210">
        <v>5</v>
      </c>
      <c r="H24" s="243">
        <v>33.880000000000003</v>
      </c>
      <c r="I24" s="212">
        <v>49.71</v>
      </c>
      <c r="J24" s="212">
        <v>53.34</v>
      </c>
      <c r="K24" s="243">
        <v>33.99</v>
      </c>
      <c r="L24" s="210">
        <v>0.44</v>
      </c>
      <c r="M24" s="236">
        <v>0</v>
      </c>
      <c r="N24" s="236">
        <v>0</v>
      </c>
      <c r="O24" s="236">
        <v>0</v>
      </c>
      <c r="P24" s="236">
        <v>0</v>
      </c>
      <c r="Q24" s="236">
        <v>0</v>
      </c>
      <c r="R24" s="236">
        <v>0</v>
      </c>
      <c r="S24" s="210">
        <v>3</v>
      </c>
      <c r="T24" s="243">
        <v>32.26</v>
      </c>
      <c r="U24" s="212">
        <v>50.76</v>
      </c>
      <c r="V24" s="212">
        <v>93.52</v>
      </c>
      <c r="W24" s="212">
        <v>85.23</v>
      </c>
      <c r="X24" s="212">
        <v>60.74</v>
      </c>
      <c r="Y24" s="212">
        <v>55</v>
      </c>
      <c r="Z24" s="211"/>
      <c r="AA24" s="211">
        <v>0</v>
      </c>
      <c r="AB24" s="211">
        <v>93.52</v>
      </c>
      <c r="AC24" s="211">
        <v>23.785884064699999</v>
      </c>
      <c r="AQ24" s="140">
        <v>17</v>
      </c>
    </row>
    <row r="25" spans="1:43">
      <c r="A25" s="145" t="s">
        <v>314</v>
      </c>
      <c r="B25" s="212">
        <v>70.59</v>
      </c>
      <c r="C25" s="212">
        <v>81</v>
      </c>
      <c r="D25" s="212">
        <v>81.22</v>
      </c>
      <c r="E25" s="212">
        <v>81.22</v>
      </c>
      <c r="F25" s="212">
        <v>82.44</v>
      </c>
      <c r="G25" s="212">
        <v>88.01</v>
      </c>
      <c r="H25" s="212">
        <v>99.22</v>
      </c>
      <c r="I25" s="212">
        <v>113.22</v>
      </c>
      <c r="J25" s="212">
        <v>123</v>
      </c>
      <c r="K25" s="212">
        <v>108.65</v>
      </c>
      <c r="L25" s="212">
        <v>85.74</v>
      </c>
      <c r="M25" s="212">
        <v>65.819999999999993</v>
      </c>
      <c r="N25" s="212">
        <v>60</v>
      </c>
      <c r="O25" s="212">
        <v>60</v>
      </c>
      <c r="P25" s="212">
        <v>57.61</v>
      </c>
      <c r="Q25" s="212">
        <v>56.47</v>
      </c>
      <c r="R25" s="212">
        <v>61</v>
      </c>
      <c r="S25" s="212">
        <v>85.5</v>
      </c>
      <c r="T25" s="212">
        <v>88</v>
      </c>
      <c r="U25" s="212">
        <v>120.01</v>
      </c>
      <c r="V25" s="212">
        <v>143.02000000000001</v>
      </c>
      <c r="W25" s="212">
        <v>148.26</v>
      </c>
      <c r="X25" s="212">
        <v>112.24</v>
      </c>
      <c r="Y25" s="212">
        <v>109.85</v>
      </c>
      <c r="Z25" s="211"/>
      <c r="AA25" s="211">
        <v>56.47</v>
      </c>
      <c r="AB25" s="211">
        <v>148.26</v>
      </c>
      <c r="AC25" s="211">
        <v>89.154149682099998</v>
      </c>
      <c r="AQ25" s="140">
        <v>18</v>
      </c>
    </row>
    <row r="26" spans="1:43">
      <c r="A26" s="145" t="s">
        <v>315</v>
      </c>
      <c r="B26" s="212">
        <v>100.67</v>
      </c>
      <c r="C26" s="212">
        <v>97.89</v>
      </c>
      <c r="D26" s="212">
        <v>98.02</v>
      </c>
      <c r="E26" s="212">
        <v>98.42</v>
      </c>
      <c r="F26" s="212">
        <v>100.67</v>
      </c>
      <c r="G26" s="212">
        <v>93</v>
      </c>
      <c r="H26" s="212">
        <v>106.42</v>
      </c>
      <c r="I26" s="212">
        <v>118.23</v>
      </c>
      <c r="J26" s="212">
        <v>120.85</v>
      </c>
      <c r="K26" s="212">
        <v>114.7</v>
      </c>
      <c r="L26" s="212">
        <v>97.94</v>
      </c>
      <c r="M26" s="212">
        <v>97.89</v>
      </c>
      <c r="N26" s="212">
        <v>97.33</v>
      </c>
      <c r="O26" s="212">
        <v>95.5</v>
      </c>
      <c r="P26" s="212">
        <v>95</v>
      </c>
      <c r="Q26" s="212">
        <v>88</v>
      </c>
      <c r="R26" s="212">
        <v>95.4</v>
      </c>
      <c r="S26" s="212">
        <v>95.5</v>
      </c>
      <c r="T26" s="212">
        <v>102</v>
      </c>
      <c r="U26" s="212">
        <v>119.44</v>
      </c>
      <c r="V26" s="212">
        <v>146.5</v>
      </c>
      <c r="W26" s="212">
        <v>155.01</v>
      </c>
      <c r="X26" s="212">
        <v>120.69</v>
      </c>
      <c r="Y26" s="212">
        <v>112.46</v>
      </c>
      <c r="Z26" s="211"/>
      <c r="AA26" s="211">
        <v>88</v>
      </c>
      <c r="AB26" s="211">
        <v>155.01</v>
      </c>
      <c r="AC26" s="211">
        <v>107.0274546213</v>
      </c>
      <c r="AQ26" s="140">
        <v>19</v>
      </c>
    </row>
    <row r="27" spans="1:43">
      <c r="A27" s="145" t="s">
        <v>316</v>
      </c>
      <c r="B27" s="212">
        <v>115.31</v>
      </c>
      <c r="C27" s="212">
        <v>108.9</v>
      </c>
      <c r="D27" s="212">
        <v>104.61</v>
      </c>
      <c r="E27" s="212">
        <v>104.61</v>
      </c>
      <c r="F27" s="212">
        <v>106.62</v>
      </c>
      <c r="G27" s="212">
        <v>107.9</v>
      </c>
      <c r="H27" s="212">
        <v>111.6</v>
      </c>
      <c r="I27" s="212">
        <v>124.9</v>
      </c>
      <c r="J27" s="212">
        <v>124.9</v>
      </c>
      <c r="K27" s="212">
        <v>114.92</v>
      </c>
      <c r="L27" s="212">
        <v>115.98</v>
      </c>
      <c r="M27" s="212">
        <v>106.62</v>
      </c>
      <c r="N27" s="212">
        <v>87</v>
      </c>
      <c r="O27" s="212">
        <v>81.34</v>
      </c>
      <c r="P27" s="212">
        <v>77.84</v>
      </c>
      <c r="Q27" s="212">
        <v>72.849999999999994</v>
      </c>
      <c r="R27" s="212">
        <v>77.099999999999994</v>
      </c>
      <c r="S27" s="212">
        <v>85.5</v>
      </c>
      <c r="T27" s="212">
        <v>106.62</v>
      </c>
      <c r="U27" s="212">
        <v>113</v>
      </c>
      <c r="V27" s="212">
        <v>145.72999999999999</v>
      </c>
      <c r="W27" s="212">
        <v>146.97</v>
      </c>
      <c r="X27" s="212">
        <v>125</v>
      </c>
      <c r="Y27" s="212">
        <v>118.72</v>
      </c>
      <c r="Z27" s="211"/>
      <c r="AA27" s="211">
        <v>72.849999999999994</v>
      </c>
      <c r="AB27" s="211">
        <v>146.97</v>
      </c>
      <c r="AC27" s="211">
        <v>106.7418636319</v>
      </c>
      <c r="AQ27" s="140">
        <v>20</v>
      </c>
    </row>
    <row r="28" spans="1:43">
      <c r="A28" s="145" t="s">
        <v>317</v>
      </c>
      <c r="B28" s="212">
        <v>104.64</v>
      </c>
      <c r="C28" s="212">
        <v>100.28</v>
      </c>
      <c r="D28" s="212">
        <v>98.02</v>
      </c>
      <c r="E28" s="212">
        <v>102.55</v>
      </c>
      <c r="F28" s="212">
        <v>100.07</v>
      </c>
      <c r="G28" s="212">
        <v>100.28</v>
      </c>
      <c r="H28" s="212">
        <v>94.9</v>
      </c>
      <c r="I28" s="212">
        <v>95.9</v>
      </c>
      <c r="J28" s="212">
        <v>100.07</v>
      </c>
      <c r="K28" s="212">
        <v>100.87</v>
      </c>
      <c r="L28" s="212">
        <v>95.01</v>
      </c>
      <c r="M28" s="212">
        <v>74.290000000000006</v>
      </c>
      <c r="N28" s="212">
        <v>64.7</v>
      </c>
      <c r="O28" s="212">
        <v>50.24</v>
      </c>
      <c r="P28" s="243">
        <v>30</v>
      </c>
      <c r="Q28" s="210">
        <v>3.32</v>
      </c>
      <c r="R28" s="210">
        <v>20.22</v>
      </c>
      <c r="S28" s="212">
        <v>49.77</v>
      </c>
      <c r="T28" s="212">
        <v>75</v>
      </c>
      <c r="U28" s="212">
        <v>108.67</v>
      </c>
      <c r="V28" s="212">
        <v>117.31</v>
      </c>
      <c r="W28" s="212">
        <v>133.02000000000001</v>
      </c>
      <c r="X28" s="212">
        <v>115.14</v>
      </c>
      <c r="Y28" s="212">
        <v>115</v>
      </c>
      <c r="Z28" s="211"/>
      <c r="AA28" s="211">
        <v>3.32</v>
      </c>
      <c r="AB28" s="211">
        <v>133.02000000000001</v>
      </c>
      <c r="AC28" s="211">
        <v>80.745514748700003</v>
      </c>
      <c r="AQ28" s="140">
        <v>21</v>
      </c>
    </row>
    <row r="29" spans="1:43">
      <c r="A29" s="145" t="s">
        <v>318</v>
      </c>
      <c r="B29" s="212">
        <v>99.98</v>
      </c>
      <c r="C29" s="212">
        <v>95.58</v>
      </c>
      <c r="D29" s="212">
        <v>95.55</v>
      </c>
      <c r="E29" s="212">
        <v>95.84</v>
      </c>
      <c r="F29" s="212">
        <v>93.9</v>
      </c>
      <c r="G29" s="212">
        <v>97.9</v>
      </c>
      <c r="H29" s="212">
        <v>102.55</v>
      </c>
      <c r="I29" s="212">
        <v>102.98</v>
      </c>
      <c r="J29" s="212">
        <v>96.31</v>
      </c>
      <c r="K29" s="212">
        <v>90.63</v>
      </c>
      <c r="L29" s="212">
        <v>50.24</v>
      </c>
      <c r="M29" s="210">
        <v>11.87</v>
      </c>
      <c r="N29" s="210">
        <v>11.68</v>
      </c>
      <c r="O29" s="210">
        <v>0.1</v>
      </c>
      <c r="P29" s="210">
        <v>0.01</v>
      </c>
      <c r="Q29" s="210">
        <v>2</v>
      </c>
      <c r="R29" s="210">
        <v>2</v>
      </c>
      <c r="S29" s="243">
        <v>28.45</v>
      </c>
      <c r="T29" s="212">
        <v>70</v>
      </c>
      <c r="U29" s="212">
        <v>102.69</v>
      </c>
      <c r="V29" s="212">
        <v>110.22</v>
      </c>
      <c r="W29" s="212">
        <v>114.53</v>
      </c>
      <c r="X29" s="212">
        <v>102.74</v>
      </c>
      <c r="Y29" s="212">
        <v>99.98</v>
      </c>
      <c r="Z29" s="211"/>
      <c r="AA29" s="211">
        <v>0.01</v>
      </c>
      <c r="AB29" s="211">
        <v>114.53</v>
      </c>
      <c r="AC29" s="211">
        <v>61.881389650899997</v>
      </c>
      <c r="AQ29" s="140">
        <v>22</v>
      </c>
    </row>
    <row r="30" spans="1:43">
      <c r="A30" s="145" t="s">
        <v>319</v>
      </c>
      <c r="B30" s="212">
        <v>102.55</v>
      </c>
      <c r="C30" s="212">
        <v>95.58</v>
      </c>
      <c r="D30" s="212">
        <v>90</v>
      </c>
      <c r="E30" s="212">
        <v>93.17</v>
      </c>
      <c r="F30" s="212">
        <v>93.88</v>
      </c>
      <c r="G30" s="212">
        <v>95.58</v>
      </c>
      <c r="H30" s="212">
        <v>96.4</v>
      </c>
      <c r="I30" s="212">
        <v>115.26</v>
      </c>
      <c r="J30" s="212">
        <v>120.01</v>
      </c>
      <c r="K30" s="212">
        <v>101.7</v>
      </c>
      <c r="L30" s="212">
        <v>85</v>
      </c>
      <c r="M30" s="212">
        <v>66.540000000000006</v>
      </c>
      <c r="N30" s="212">
        <v>51.1</v>
      </c>
      <c r="O30" s="212">
        <v>50.24</v>
      </c>
      <c r="P30" s="243">
        <v>39.9</v>
      </c>
      <c r="Q30" s="210">
        <v>20.5</v>
      </c>
      <c r="R30" s="243">
        <v>40.65</v>
      </c>
      <c r="S30" s="212">
        <v>60.81</v>
      </c>
      <c r="T30" s="212">
        <v>95.58</v>
      </c>
      <c r="U30" s="212">
        <v>116.05</v>
      </c>
      <c r="V30" s="212">
        <v>155.01</v>
      </c>
      <c r="W30" s="212">
        <v>157.66</v>
      </c>
      <c r="X30" s="212">
        <v>112.55</v>
      </c>
      <c r="Y30" s="212">
        <v>105.08</v>
      </c>
      <c r="Z30" s="211"/>
      <c r="AA30" s="211">
        <v>20.5</v>
      </c>
      <c r="AB30" s="211">
        <v>157.66</v>
      </c>
      <c r="AC30" s="211">
        <v>85.419092968000001</v>
      </c>
      <c r="AQ30" s="140">
        <v>23</v>
      </c>
    </row>
    <row r="31" spans="1:43">
      <c r="A31" s="145" t="s">
        <v>320</v>
      </c>
      <c r="B31" s="212">
        <v>95.52</v>
      </c>
      <c r="C31" s="212">
        <v>95</v>
      </c>
      <c r="D31" s="212">
        <v>94.5</v>
      </c>
      <c r="E31" s="212">
        <v>93.84</v>
      </c>
      <c r="F31" s="212">
        <v>93.84</v>
      </c>
      <c r="G31" s="212">
        <v>93.84</v>
      </c>
      <c r="H31" s="212">
        <v>107.74</v>
      </c>
      <c r="I31" s="212">
        <v>120.1</v>
      </c>
      <c r="J31" s="212">
        <v>127.67</v>
      </c>
      <c r="K31" s="212">
        <v>117.9</v>
      </c>
      <c r="L31" s="212">
        <v>94.08</v>
      </c>
      <c r="M31" s="212">
        <v>79.489999999999995</v>
      </c>
      <c r="N31" s="212">
        <v>64.959999999999994</v>
      </c>
      <c r="O31" s="212">
        <v>59.77</v>
      </c>
      <c r="P31" s="212">
        <v>57.31</v>
      </c>
      <c r="Q31" s="212">
        <v>59.55</v>
      </c>
      <c r="R31" s="212">
        <v>60.2</v>
      </c>
      <c r="S31" s="212">
        <v>82.44</v>
      </c>
      <c r="T31" s="212">
        <v>83.65</v>
      </c>
      <c r="U31" s="212">
        <v>124.76</v>
      </c>
      <c r="V31" s="212">
        <v>140</v>
      </c>
      <c r="W31" s="212">
        <v>138.44</v>
      </c>
      <c r="X31" s="212">
        <v>112.55</v>
      </c>
      <c r="Y31" s="212">
        <v>102.34</v>
      </c>
      <c r="Z31" s="211"/>
      <c r="AA31" s="211">
        <v>57.31</v>
      </c>
      <c r="AB31" s="211">
        <v>140</v>
      </c>
      <c r="AC31" s="211">
        <v>93.421434693999998</v>
      </c>
      <c r="AQ31" s="140">
        <v>24</v>
      </c>
    </row>
    <row r="32" spans="1:43">
      <c r="A32" s="145" t="s">
        <v>321</v>
      </c>
      <c r="B32" s="212">
        <v>92.4</v>
      </c>
      <c r="C32" s="212">
        <v>75.489999999999995</v>
      </c>
      <c r="D32" s="212">
        <v>73.08</v>
      </c>
      <c r="E32" s="212">
        <v>72.72</v>
      </c>
      <c r="F32" s="212">
        <v>60.8</v>
      </c>
      <c r="G32" s="212">
        <v>60.7</v>
      </c>
      <c r="H32" s="212">
        <v>60.7</v>
      </c>
      <c r="I32" s="212">
        <v>84.24</v>
      </c>
      <c r="J32" s="212">
        <v>88.09</v>
      </c>
      <c r="K32" s="212">
        <v>70.760000000000005</v>
      </c>
      <c r="L32" s="212">
        <v>61.5</v>
      </c>
      <c r="M32" s="212">
        <v>52.1</v>
      </c>
      <c r="N32" s="243">
        <v>40</v>
      </c>
      <c r="O32" s="243">
        <v>34.270000000000003</v>
      </c>
      <c r="P32" s="243">
        <v>36.229999999999997</v>
      </c>
      <c r="Q32" s="210">
        <v>15</v>
      </c>
      <c r="R32" s="210">
        <v>14</v>
      </c>
      <c r="S32" s="243">
        <v>34.229999999999997</v>
      </c>
      <c r="T32" s="243">
        <v>41.91</v>
      </c>
      <c r="U32" s="212">
        <v>60.8</v>
      </c>
      <c r="V32" s="212">
        <v>74</v>
      </c>
      <c r="W32" s="212">
        <v>73.08</v>
      </c>
      <c r="X32" s="212">
        <v>57.3</v>
      </c>
      <c r="Y32" s="243">
        <v>40</v>
      </c>
      <c r="Z32" s="211"/>
      <c r="AA32" s="211">
        <v>14</v>
      </c>
      <c r="AB32" s="211">
        <v>92.4</v>
      </c>
      <c r="AC32" s="211">
        <v>54.008067793899997</v>
      </c>
      <c r="AQ32" s="140">
        <v>25</v>
      </c>
    </row>
    <row r="33" spans="1:43">
      <c r="A33" s="145" t="s">
        <v>322</v>
      </c>
      <c r="B33" s="210">
        <v>20.3</v>
      </c>
      <c r="C33" s="210">
        <v>6.99</v>
      </c>
      <c r="D33" s="210">
        <v>10.29</v>
      </c>
      <c r="E33" s="210">
        <v>4.92</v>
      </c>
      <c r="F33" s="210">
        <v>3.32</v>
      </c>
      <c r="G33" s="210">
        <v>7.33</v>
      </c>
      <c r="H33" s="243">
        <v>33.83</v>
      </c>
      <c r="I33" s="212">
        <v>58.27</v>
      </c>
      <c r="J33" s="212">
        <v>65</v>
      </c>
      <c r="K33" s="212">
        <v>53.52</v>
      </c>
      <c r="L33" s="210">
        <v>3.6</v>
      </c>
      <c r="M33" s="210">
        <v>0.46</v>
      </c>
      <c r="N33" s="236">
        <v>0</v>
      </c>
      <c r="O33" s="236">
        <v>0</v>
      </c>
      <c r="P33" s="236">
        <v>0</v>
      </c>
      <c r="Q33" s="236">
        <v>0</v>
      </c>
      <c r="R33" s="236">
        <v>0</v>
      </c>
      <c r="S33" s="210">
        <v>2.4</v>
      </c>
      <c r="T33" s="210">
        <v>11.99</v>
      </c>
      <c r="U33" s="212">
        <v>55.23</v>
      </c>
      <c r="V33" s="212">
        <v>65.5</v>
      </c>
      <c r="W33" s="212">
        <v>72.5</v>
      </c>
      <c r="X33" s="212">
        <v>54.9</v>
      </c>
      <c r="Y33" s="212">
        <v>49.9</v>
      </c>
      <c r="Z33" s="211"/>
      <c r="AA33" s="211">
        <v>0</v>
      </c>
      <c r="AB33" s="211">
        <v>72.5</v>
      </c>
      <c r="AC33" s="211">
        <v>23.684119647799999</v>
      </c>
      <c r="AQ33" s="140">
        <v>26</v>
      </c>
    </row>
    <row r="34" spans="1:43">
      <c r="A34" s="145" t="s">
        <v>323</v>
      </c>
      <c r="B34" s="210">
        <v>7</v>
      </c>
      <c r="C34" s="210">
        <v>3.32</v>
      </c>
      <c r="D34" s="210">
        <v>3.32</v>
      </c>
      <c r="E34" s="210">
        <v>3.32</v>
      </c>
      <c r="F34" s="210">
        <v>3.32</v>
      </c>
      <c r="G34" s="210">
        <v>3.32</v>
      </c>
      <c r="H34" s="210">
        <v>5.14</v>
      </c>
      <c r="I34" s="212">
        <v>45</v>
      </c>
      <c r="J34" s="212">
        <v>52.1</v>
      </c>
      <c r="K34" s="210">
        <v>10.08</v>
      </c>
      <c r="L34" s="210">
        <v>0.44</v>
      </c>
      <c r="M34" s="236">
        <v>0</v>
      </c>
      <c r="N34" s="210">
        <v>-0.01</v>
      </c>
      <c r="O34" s="210">
        <v>-0.15</v>
      </c>
      <c r="P34" s="210">
        <v>-0.04</v>
      </c>
      <c r="Q34" s="210">
        <v>-0.01</v>
      </c>
      <c r="R34" s="236">
        <v>0</v>
      </c>
      <c r="S34" s="210">
        <v>0.44</v>
      </c>
      <c r="T34" s="243">
        <v>34.21</v>
      </c>
      <c r="U34" s="212">
        <v>69.849999999999994</v>
      </c>
      <c r="V34" s="212">
        <v>98.07</v>
      </c>
      <c r="W34" s="212">
        <v>109.83</v>
      </c>
      <c r="X34" s="212">
        <v>87</v>
      </c>
      <c r="Y34" s="212">
        <v>79</v>
      </c>
      <c r="Z34" s="211"/>
      <c r="AA34" s="211">
        <v>-0.15</v>
      </c>
      <c r="AB34" s="211">
        <v>109.83</v>
      </c>
      <c r="AC34" s="211">
        <v>22.203835649199998</v>
      </c>
      <c r="AQ34" s="140">
        <v>27</v>
      </c>
    </row>
    <row r="35" spans="1:43">
      <c r="A35" s="145" t="s">
        <v>324</v>
      </c>
      <c r="B35" s="212">
        <v>86.04</v>
      </c>
      <c r="C35" s="212">
        <v>75.099999999999994</v>
      </c>
      <c r="D35" s="212">
        <v>54</v>
      </c>
      <c r="E35" s="212">
        <v>49</v>
      </c>
      <c r="F35" s="212">
        <v>45</v>
      </c>
      <c r="G35" s="243">
        <v>43.77</v>
      </c>
      <c r="H35" s="212">
        <v>45</v>
      </c>
      <c r="I35" s="212">
        <v>54.18</v>
      </c>
      <c r="J35" s="212">
        <v>50</v>
      </c>
      <c r="K35" s="210">
        <v>24.17</v>
      </c>
      <c r="L35" s="210">
        <v>3.6</v>
      </c>
      <c r="M35" s="236">
        <v>0</v>
      </c>
      <c r="N35" s="236">
        <v>0</v>
      </c>
      <c r="O35" s="236">
        <v>0</v>
      </c>
      <c r="P35" s="236">
        <v>0</v>
      </c>
      <c r="Q35" s="236">
        <v>0</v>
      </c>
      <c r="R35" s="236">
        <v>0</v>
      </c>
      <c r="S35" s="210">
        <v>0.44</v>
      </c>
      <c r="T35" s="212">
        <v>50.24</v>
      </c>
      <c r="U35" s="212">
        <v>111.23</v>
      </c>
      <c r="V35" s="212">
        <v>114.29</v>
      </c>
      <c r="W35" s="212">
        <v>120.11</v>
      </c>
      <c r="X35" s="212">
        <v>106</v>
      </c>
      <c r="Y35" s="212">
        <v>91.25</v>
      </c>
      <c r="Z35" s="211"/>
      <c r="AA35" s="211">
        <v>0</v>
      </c>
      <c r="AB35" s="211">
        <v>120.11</v>
      </c>
      <c r="AC35" s="211">
        <v>39.478293868500003</v>
      </c>
      <c r="AQ35" s="140">
        <v>28</v>
      </c>
    </row>
    <row r="36" spans="1:43">
      <c r="A36" s="145" t="s">
        <v>325</v>
      </c>
      <c r="B36" s="212">
        <v>84.99</v>
      </c>
      <c r="C36" s="212">
        <v>79.489999999999995</v>
      </c>
      <c r="D36" s="212">
        <v>74.900000000000006</v>
      </c>
      <c r="E36" s="212">
        <v>58.36</v>
      </c>
      <c r="F36" s="212">
        <v>49.2</v>
      </c>
      <c r="G36" s="212">
        <v>49.2</v>
      </c>
      <c r="H36" s="212">
        <v>55</v>
      </c>
      <c r="I36" s="212">
        <v>60.66</v>
      </c>
      <c r="J36" s="212">
        <v>57.94</v>
      </c>
      <c r="K36" s="210">
        <v>19.899999999999999</v>
      </c>
      <c r="L36" s="236">
        <v>0</v>
      </c>
      <c r="M36" s="210">
        <v>-0.12</v>
      </c>
      <c r="N36" s="210">
        <v>-0.39</v>
      </c>
      <c r="O36" s="210">
        <v>-0.5</v>
      </c>
      <c r="P36" s="210">
        <v>-0.45</v>
      </c>
      <c r="Q36" s="210">
        <v>-0.79</v>
      </c>
      <c r="R36" s="210">
        <v>-0.79</v>
      </c>
      <c r="S36" s="210">
        <v>-0.01</v>
      </c>
      <c r="T36" s="210">
        <v>8.6</v>
      </c>
      <c r="U36" s="212">
        <v>72.34</v>
      </c>
      <c r="V36" s="212">
        <v>95</v>
      </c>
      <c r="W36" s="212">
        <v>101.89</v>
      </c>
      <c r="X36" s="212">
        <v>95.98</v>
      </c>
      <c r="Y36" s="212">
        <v>84.99</v>
      </c>
      <c r="Z36" s="211"/>
      <c r="AA36" s="211">
        <v>-0.79</v>
      </c>
      <c r="AB36" s="211">
        <v>101.89</v>
      </c>
      <c r="AC36" s="211">
        <v>37.485427031599997</v>
      </c>
      <c r="AQ36" s="140">
        <v>29</v>
      </c>
    </row>
    <row r="37" spans="1:43">
      <c r="A37" s="145" t="s">
        <v>326</v>
      </c>
      <c r="B37" s="212">
        <v>80.349999999999994</v>
      </c>
      <c r="C37" s="212">
        <v>83</v>
      </c>
      <c r="D37" s="212">
        <v>94.4</v>
      </c>
      <c r="E37" s="212">
        <v>88</v>
      </c>
      <c r="F37" s="212">
        <v>85</v>
      </c>
      <c r="G37" s="212">
        <v>95.98</v>
      </c>
      <c r="H37" s="212">
        <v>106</v>
      </c>
      <c r="I37" s="212">
        <v>141.94</v>
      </c>
      <c r="J37" s="212">
        <v>160.1</v>
      </c>
      <c r="K37" s="212">
        <v>106</v>
      </c>
      <c r="L37" s="212">
        <v>69.14</v>
      </c>
      <c r="M37" s="212">
        <v>47.77</v>
      </c>
      <c r="N37" s="243">
        <v>29.21</v>
      </c>
      <c r="O37" s="243">
        <v>25.2</v>
      </c>
      <c r="P37" s="210">
        <v>10</v>
      </c>
      <c r="Q37" s="210">
        <v>2.4</v>
      </c>
      <c r="R37" s="210">
        <v>18.2</v>
      </c>
      <c r="S37" s="212">
        <v>49.54</v>
      </c>
      <c r="T37" s="212">
        <v>95.74</v>
      </c>
      <c r="U37" s="212">
        <v>119.72</v>
      </c>
      <c r="V37" s="212">
        <v>176.21</v>
      </c>
      <c r="W37" s="212">
        <v>174.5</v>
      </c>
      <c r="X37" s="212">
        <v>124.44</v>
      </c>
      <c r="Y37" s="212">
        <v>125.45</v>
      </c>
      <c r="Z37" s="211"/>
      <c r="AA37" s="211">
        <v>2.4</v>
      </c>
      <c r="AB37" s="211">
        <v>176.21</v>
      </c>
      <c r="AC37" s="211">
        <v>79.1495773579</v>
      </c>
      <c r="AQ37" s="140">
        <v>30</v>
      </c>
    </row>
    <row r="38" spans="1:43">
      <c r="AQ38" s="140">
        <v>31</v>
      </c>
    </row>
    <row r="41" spans="1:43">
      <c r="A41" s="143" t="s">
        <v>28</v>
      </c>
      <c r="B41" s="258" t="s">
        <v>52</v>
      </c>
      <c r="C41" s="259"/>
      <c r="D41" s="259"/>
      <c r="E41" s="259"/>
      <c r="F41" s="259"/>
      <c r="G41" s="259"/>
      <c r="H41" s="259"/>
      <c r="I41" s="259"/>
      <c r="J41" s="259"/>
      <c r="K41" s="259"/>
      <c r="L41" s="259"/>
      <c r="M41" s="259"/>
      <c r="N41" s="259"/>
    </row>
    <row r="42" spans="1:43">
      <c r="A42" s="143" t="s">
        <v>124</v>
      </c>
      <c r="B42" s="170">
        <v>202309</v>
      </c>
      <c r="C42" s="170">
        <v>202310</v>
      </c>
      <c r="D42" s="170">
        <v>202311</v>
      </c>
      <c r="E42" s="170">
        <v>202312</v>
      </c>
      <c r="F42" s="170">
        <v>202401</v>
      </c>
      <c r="G42" s="170">
        <v>202402</v>
      </c>
      <c r="H42" s="170">
        <v>202403</v>
      </c>
      <c r="I42" s="170">
        <v>202404</v>
      </c>
      <c r="J42" s="170">
        <v>202405</v>
      </c>
      <c r="K42" s="170">
        <v>202406</v>
      </c>
      <c r="L42" s="170">
        <v>202407</v>
      </c>
      <c r="M42" s="170">
        <v>202408</v>
      </c>
      <c r="N42" s="170">
        <v>202409</v>
      </c>
    </row>
    <row r="43" spans="1:43">
      <c r="A43" s="143" t="s">
        <v>95</v>
      </c>
      <c r="B43" s="249" t="s">
        <v>267</v>
      </c>
      <c r="C43" s="249" t="s">
        <v>270</v>
      </c>
      <c r="D43" s="249" t="s">
        <v>273</v>
      </c>
      <c r="E43" s="249" t="s">
        <v>274</v>
      </c>
      <c r="F43" s="249" t="s">
        <v>276</v>
      </c>
      <c r="G43" s="249" t="s">
        <v>278</v>
      </c>
      <c r="H43" s="249" t="s">
        <v>281</v>
      </c>
      <c r="I43" s="249" t="s">
        <v>285</v>
      </c>
      <c r="J43" s="249" t="s">
        <v>289</v>
      </c>
      <c r="K43" s="249" t="s">
        <v>291</v>
      </c>
      <c r="L43" s="249" t="s">
        <v>293</v>
      </c>
      <c r="M43" s="249" t="s">
        <v>295</v>
      </c>
      <c r="N43" s="249" t="s">
        <v>327</v>
      </c>
    </row>
    <row r="44" spans="1:43">
      <c r="A44" s="143" t="s">
        <v>125</v>
      </c>
      <c r="B44" s="170"/>
      <c r="C44" s="170"/>
      <c r="D44" s="170"/>
      <c r="E44" s="170"/>
      <c r="F44" s="170"/>
      <c r="G44" s="170"/>
      <c r="H44" s="170"/>
      <c r="I44" s="170"/>
      <c r="J44" s="170"/>
      <c r="K44" s="170"/>
      <c r="L44" s="170"/>
      <c r="M44" s="170"/>
      <c r="N44" s="170"/>
    </row>
    <row r="45" spans="1:43">
      <c r="A45" s="145" t="s">
        <v>53</v>
      </c>
      <c r="B45" s="238">
        <v>18394400.785999998</v>
      </c>
      <c r="C45" s="238">
        <v>18598603.438999999</v>
      </c>
      <c r="D45" s="238">
        <v>18943383.147999998</v>
      </c>
      <c r="E45" s="238">
        <v>20023114.171</v>
      </c>
      <c r="F45" s="250">
        <v>21022918.717999998</v>
      </c>
      <c r="G45" s="238">
        <v>19174347.649999999</v>
      </c>
      <c r="H45" s="238">
        <v>19397153.409000002</v>
      </c>
      <c r="I45" s="238">
        <v>18171952.620999999</v>
      </c>
      <c r="J45" s="245">
        <v>18437728.679000001</v>
      </c>
      <c r="K45" s="238">
        <v>18450887.931000002</v>
      </c>
      <c r="L45" s="250">
        <v>21346708.355</v>
      </c>
      <c r="M45" s="245">
        <v>20624995.833999999</v>
      </c>
      <c r="N45" s="238">
        <v>18396476.870000001</v>
      </c>
      <c r="Q45" s="145"/>
    </row>
    <row r="46" spans="1:43">
      <c r="A46" s="145" t="s">
        <v>54</v>
      </c>
      <c r="B46" s="239">
        <v>100</v>
      </c>
      <c r="C46" s="239">
        <v>100</v>
      </c>
      <c r="D46" s="239">
        <v>100</v>
      </c>
      <c r="E46" s="239">
        <v>100</v>
      </c>
      <c r="F46" s="251">
        <v>100</v>
      </c>
      <c r="G46" s="239">
        <v>100</v>
      </c>
      <c r="H46" s="239">
        <v>100</v>
      </c>
      <c r="I46" s="239">
        <v>100</v>
      </c>
      <c r="J46" s="247">
        <v>100</v>
      </c>
      <c r="K46" s="239">
        <v>100</v>
      </c>
      <c r="L46" s="251">
        <v>100</v>
      </c>
      <c r="M46" s="239">
        <v>100</v>
      </c>
      <c r="N46" s="239">
        <v>100</v>
      </c>
      <c r="Q46" s="145"/>
    </row>
    <row r="47" spans="1:43">
      <c r="A47" s="145" t="s">
        <v>55</v>
      </c>
      <c r="B47" s="243">
        <v>104</v>
      </c>
      <c r="C47" s="243">
        <v>90.65</v>
      </c>
      <c r="D47" s="243">
        <v>65.98</v>
      </c>
      <c r="E47" s="243">
        <v>74.37</v>
      </c>
      <c r="F47" s="252">
        <v>76.87</v>
      </c>
      <c r="G47" s="243">
        <v>40.770000000000003</v>
      </c>
      <c r="H47" s="243">
        <v>21.37</v>
      </c>
      <c r="I47" s="243">
        <v>14.103999999999999</v>
      </c>
      <c r="J47" s="246">
        <v>30.15</v>
      </c>
      <c r="K47" s="243">
        <v>56.87</v>
      </c>
      <c r="L47" s="252">
        <v>72.64</v>
      </c>
      <c r="M47" s="246">
        <v>91.75</v>
      </c>
      <c r="N47" s="243">
        <v>73.44</v>
      </c>
      <c r="Q47" s="231"/>
    </row>
    <row r="48" spans="1:43">
      <c r="A48" s="145" t="s">
        <v>56</v>
      </c>
      <c r="B48" s="243">
        <v>2.79</v>
      </c>
      <c r="C48" s="243">
        <v>5.0999999999999996</v>
      </c>
      <c r="D48" s="243">
        <v>6</v>
      </c>
      <c r="E48" s="243">
        <v>4.01</v>
      </c>
      <c r="F48" s="252">
        <v>2.97</v>
      </c>
      <c r="G48" s="243">
        <v>4.03</v>
      </c>
      <c r="H48" s="243">
        <v>7.16</v>
      </c>
      <c r="I48" s="243">
        <v>9.5419999999999998</v>
      </c>
      <c r="J48" s="246">
        <v>9.01</v>
      </c>
      <c r="K48" s="243">
        <v>5.55</v>
      </c>
      <c r="L48" s="252">
        <v>3.41</v>
      </c>
      <c r="M48" s="246">
        <v>3.45</v>
      </c>
      <c r="N48" s="243">
        <v>4.53</v>
      </c>
      <c r="Q48" s="231"/>
    </row>
    <row r="49" spans="1:17">
      <c r="A49" s="145" t="s">
        <v>57</v>
      </c>
      <c r="B49" s="243">
        <v>3.39</v>
      </c>
      <c r="C49" s="243">
        <v>5.37</v>
      </c>
      <c r="D49" s="243">
        <v>5.36</v>
      </c>
      <c r="E49" s="243">
        <v>4.4400000000000004</v>
      </c>
      <c r="F49" s="252">
        <v>3.09</v>
      </c>
      <c r="G49" s="243">
        <v>3.17</v>
      </c>
      <c r="H49" s="243">
        <v>3.41</v>
      </c>
      <c r="I49" s="243">
        <v>5.63</v>
      </c>
      <c r="J49" s="246">
        <v>3.11</v>
      </c>
      <c r="K49" s="243">
        <v>2.64</v>
      </c>
      <c r="L49" s="252">
        <v>2.81</v>
      </c>
      <c r="M49" s="246">
        <v>3.21</v>
      </c>
      <c r="N49" s="243">
        <v>3.66</v>
      </c>
      <c r="Q49" s="231"/>
    </row>
    <row r="50" spans="1:17">
      <c r="A50" s="145" t="s">
        <v>58</v>
      </c>
      <c r="B50" s="243">
        <v>-0.08</v>
      </c>
      <c r="C50" s="243">
        <v>-0.12</v>
      </c>
      <c r="D50" s="243">
        <v>-7.0000000000000007E-2</v>
      </c>
      <c r="E50" s="243">
        <v>-0.08</v>
      </c>
      <c r="F50" s="252">
        <v>-0.09</v>
      </c>
      <c r="G50" s="243">
        <v>-0.09</v>
      </c>
      <c r="H50" s="243">
        <v>-0.05</v>
      </c>
      <c r="I50" s="243">
        <v>-0.13</v>
      </c>
      <c r="J50" s="246">
        <v>-7.0000000000000007E-2</v>
      </c>
      <c r="K50" s="243">
        <v>-0.11</v>
      </c>
      <c r="L50" s="252">
        <v>-7.0000000000000007E-2</v>
      </c>
      <c r="M50" s="246">
        <v>-0.13</v>
      </c>
      <c r="N50" s="243">
        <v>-0.09</v>
      </c>
      <c r="Q50" s="231"/>
    </row>
    <row r="51" spans="1:17">
      <c r="A51" s="145" t="s">
        <v>59</v>
      </c>
      <c r="B51" s="243">
        <v>0</v>
      </c>
      <c r="C51" s="243">
        <v>0</v>
      </c>
      <c r="D51" s="243">
        <v>0</v>
      </c>
      <c r="E51" s="243">
        <v>0</v>
      </c>
      <c r="F51" s="252">
        <v>0</v>
      </c>
      <c r="G51" s="243">
        <v>0</v>
      </c>
      <c r="H51" s="243">
        <v>0</v>
      </c>
      <c r="I51" s="243">
        <v>0</v>
      </c>
      <c r="J51" s="246">
        <v>0</v>
      </c>
      <c r="K51" s="243">
        <v>0</v>
      </c>
      <c r="L51" s="252">
        <v>0</v>
      </c>
      <c r="M51" s="246">
        <v>0</v>
      </c>
      <c r="N51" s="243">
        <v>0</v>
      </c>
      <c r="Q51" s="231"/>
    </row>
    <row r="52" spans="1:17">
      <c r="A52" s="145" t="s">
        <v>60</v>
      </c>
      <c r="B52" s="243">
        <v>0</v>
      </c>
      <c r="C52" s="243">
        <v>0</v>
      </c>
      <c r="D52" s="243">
        <v>0</v>
      </c>
      <c r="E52" s="243">
        <v>0</v>
      </c>
      <c r="F52" s="252">
        <v>0</v>
      </c>
      <c r="G52" s="243">
        <v>0</v>
      </c>
      <c r="H52" s="243">
        <v>0</v>
      </c>
      <c r="I52" s="243">
        <v>0</v>
      </c>
      <c r="J52" s="246">
        <v>0</v>
      </c>
      <c r="K52" s="243">
        <v>0</v>
      </c>
      <c r="L52" s="252">
        <v>0</v>
      </c>
      <c r="M52" s="246">
        <v>0</v>
      </c>
      <c r="N52" s="243">
        <v>0</v>
      </c>
      <c r="Q52" s="231"/>
    </row>
    <row r="53" spans="1:17">
      <c r="A53" s="145" t="s">
        <v>261</v>
      </c>
      <c r="B53" s="243">
        <v>1.69</v>
      </c>
      <c r="C53" s="243">
        <v>2.7</v>
      </c>
      <c r="D53" s="243">
        <v>2.1</v>
      </c>
      <c r="E53" s="243">
        <v>1.87</v>
      </c>
      <c r="F53" s="252">
        <v>1.89</v>
      </c>
      <c r="G53" s="243">
        <v>1.78</v>
      </c>
      <c r="H53" s="243">
        <v>1.7</v>
      </c>
      <c r="I53" s="246">
        <v>1.54</v>
      </c>
      <c r="J53" s="246">
        <v>1.9</v>
      </c>
      <c r="K53" s="243">
        <v>3.1</v>
      </c>
      <c r="L53" s="252">
        <v>1.66</v>
      </c>
      <c r="M53" s="246">
        <v>1.67</v>
      </c>
      <c r="N53" s="243">
        <v>2.11</v>
      </c>
      <c r="Q53" s="231"/>
    </row>
    <row r="54" spans="1:17">
      <c r="A54" s="145" t="s">
        <v>259</v>
      </c>
      <c r="B54" s="243">
        <v>0.04</v>
      </c>
      <c r="C54" s="243">
        <v>0.05</v>
      </c>
      <c r="D54" s="243">
        <v>0.03</v>
      </c>
      <c r="E54" s="243">
        <v>0.04</v>
      </c>
      <c r="F54" s="252">
        <v>0.04</v>
      </c>
      <c r="G54" s="243">
        <v>0.02</v>
      </c>
      <c r="H54" s="243">
        <v>0.04</v>
      </c>
      <c r="I54" s="246">
        <v>0.03</v>
      </c>
      <c r="J54" s="246">
        <v>0.03</v>
      </c>
      <c r="K54" s="243">
        <v>0.04</v>
      </c>
      <c r="L54" s="252">
        <v>0.03</v>
      </c>
      <c r="M54" s="246">
        <v>0.03</v>
      </c>
      <c r="N54" s="243">
        <v>0.04</v>
      </c>
      <c r="Q54" s="231"/>
    </row>
    <row r="55" spans="1:17">
      <c r="A55" s="145" t="s">
        <v>61</v>
      </c>
      <c r="B55" s="243">
        <v>-0.2</v>
      </c>
      <c r="C55" s="243">
        <v>-0.19</v>
      </c>
      <c r="D55" s="243">
        <v>-0.1</v>
      </c>
      <c r="E55" s="243">
        <v>-0.18</v>
      </c>
      <c r="F55" s="252">
        <v>-0.14000000000000001</v>
      </c>
      <c r="G55" s="243">
        <v>-0.08</v>
      </c>
      <c r="H55" s="243">
        <v>-0.02</v>
      </c>
      <c r="I55" s="246">
        <v>-0.02</v>
      </c>
      <c r="J55" s="246">
        <v>-0.06</v>
      </c>
      <c r="K55" s="243">
        <v>-0.09</v>
      </c>
      <c r="L55" s="252">
        <v>-0.08</v>
      </c>
      <c r="M55" s="246">
        <v>-0.08</v>
      </c>
      <c r="N55" s="243">
        <v>-0.11</v>
      </c>
      <c r="Q55" s="231"/>
    </row>
    <row r="56" spans="1:17">
      <c r="A56" s="145" t="s">
        <v>62</v>
      </c>
      <c r="B56" s="243">
        <v>0.55000000000000004</v>
      </c>
      <c r="C56" s="243">
        <v>0.39</v>
      </c>
      <c r="D56" s="243">
        <v>0.34</v>
      </c>
      <c r="E56" s="243">
        <v>0.37</v>
      </c>
      <c r="F56" s="252">
        <v>0.42</v>
      </c>
      <c r="G56" s="243">
        <v>0.3</v>
      </c>
      <c r="H56" s="243">
        <v>0.28999999999999998</v>
      </c>
      <c r="I56" s="243">
        <v>0.51</v>
      </c>
      <c r="J56" s="246">
        <v>0.38</v>
      </c>
      <c r="K56" s="243">
        <v>0.37</v>
      </c>
      <c r="L56" s="252">
        <v>0.3</v>
      </c>
      <c r="M56" s="246">
        <v>0.47</v>
      </c>
      <c r="N56" s="243">
        <v>0.46</v>
      </c>
      <c r="Q56" s="231"/>
    </row>
    <row r="57" spans="1:17">
      <c r="A57" s="145" t="s">
        <v>63</v>
      </c>
      <c r="B57" s="243">
        <v>0.02</v>
      </c>
      <c r="C57" s="243">
        <v>0.18</v>
      </c>
      <c r="D57" s="243">
        <v>0.44</v>
      </c>
      <c r="E57" s="243">
        <v>0.2</v>
      </c>
      <c r="F57" s="252">
        <v>0.34</v>
      </c>
      <c r="G57" s="243">
        <v>0.28000000000000003</v>
      </c>
      <c r="H57" s="243">
        <v>0.23</v>
      </c>
      <c r="I57" s="243">
        <v>0.27</v>
      </c>
      <c r="J57" s="246">
        <v>0</v>
      </c>
      <c r="K57" s="243">
        <v>0.05</v>
      </c>
      <c r="L57" s="252">
        <v>0.09</v>
      </c>
      <c r="M57" s="246">
        <v>0.52</v>
      </c>
      <c r="N57" s="243">
        <v>0.73</v>
      </c>
      <c r="Q57" s="231"/>
    </row>
    <row r="58" spans="1:17">
      <c r="A58" s="145" t="s">
        <v>23</v>
      </c>
      <c r="B58" s="243">
        <v>-7.0000000000000007E-2</v>
      </c>
      <c r="C58" s="243">
        <v>-0.09</v>
      </c>
      <c r="D58" s="243">
        <v>-0.09</v>
      </c>
      <c r="E58" s="243">
        <v>-0.09</v>
      </c>
      <c r="F58" s="252">
        <v>-0.09</v>
      </c>
      <c r="G58" s="243">
        <v>-0.14000000000000001</v>
      </c>
      <c r="H58" s="243">
        <v>-0.13</v>
      </c>
      <c r="I58" s="243">
        <v>-0.12</v>
      </c>
      <c r="J58" s="246">
        <v>-0.13</v>
      </c>
      <c r="K58" s="243">
        <v>-0.11</v>
      </c>
      <c r="L58" s="252">
        <v>-0.09</v>
      </c>
      <c r="M58" s="246">
        <v>-0.1</v>
      </c>
      <c r="N58" s="243">
        <v>-0.11</v>
      </c>
      <c r="Q58" s="231"/>
    </row>
    <row r="59" spans="1:17">
      <c r="A59" s="145" t="s">
        <v>64</v>
      </c>
      <c r="B59" s="243">
        <v>0.19</v>
      </c>
      <c r="C59" s="243">
        <v>0.17</v>
      </c>
      <c r="D59" s="243">
        <v>0.23</v>
      </c>
      <c r="E59" s="243">
        <v>0.3</v>
      </c>
      <c r="F59" s="252">
        <v>0.35</v>
      </c>
      <c r="G59" s="243">
        <v>0.33</v>
      </c>
      <c r="H59" s="243">
        <v>0.19</v>
      </c>
      <c r="I59" s="243">
        <v>0.16</v>
      </c>
      <c r="J59" s="246">
        <v>0.15</v>
      </c>
      <c r="K59" s="243">
        <v>0.15</v>
      </c>
      <c r="L59" s="252">
        <v>0.31</v>
      </c>
      <c r="M59" s="246">
        <v>0.16</v>
      </c>
      <c r="N59" s="243">
        <v>0.16</v>
      </c>
      <c r="Q59" s="231"/>
    </row>
    <row r="60" spans="1:17">
      <c r="A60" s="145" t="s">
        <v>262</v>
      </c>
      <c r="B60" s="243">
        <v>0</v>
      </c>
      <c r="C60" s="243">
        <v>0</v>
      </c>
      <c r="D60" s="243">
        <v>0</v>
      </c>
      <c r="E60" s="243">
        <v>0</v>
      </c>
      <c r="F60" s="252">
        <v>0</v>
      </c>
      <c r="G60" s="243">
        <v>0</v>
      </c>
      <c r="H60" s="243">
        <v>0</v>
      </c>
      <c r="I60" s="243">
        <v>0</v>
      </c>
      <c r="J60" s="246">
        <v>0</v>
      </c>
      <c r="K60" s="243">
        <v>0</v>
      </c>
      <c r="L60" s="252">
        <v>0</v>
      </c>
      <c r="M60" s="246">
        <v>0</v>
      </c>
      <c r="N60" s="243">
        <v>0</v>
      </c>
      <c r="Q60" s="231"/>
    </row>
    <row r="61" spans="1:17">
      <c r="A61" s="145" t="s">
        <v>65</v>
      </c>
      <c r="B61" s="243">
        <v>0.05</v>
      </c>
      <c r="C61" s="243">
        <v>0.05</v>
      </c>
      <c r="D61" s="243">
        <v>0.04</v>
      </c>
      <c r="E61" s="243">
        <v>0.04</v>
      </c>
      <c r="F61" s="252">
        <v>0.02</v>
      </c>
      <c r="G61" s="243">
        <v>0.04</v>
      </c>
      <c r="H61" s="243">
        <v>0.03</v>
      </c>
      <c r="I61" s="243">
        <v>0.03</v>
      </c>
      <c r="J61" s="246">
        <v>0.05</v>
      </c>
      <c r="K61" s="243">
        <v>0.04</v>
      </c>
      <c r="L61" s="252">
        <v>0.06</v>
      </c>
      <c r="M61" s="246">
        <v>0.04</v>
      </c>
      <c r="N61" s="243">
        <v>0.04</v>
      </c>
      <c r="Q61" s="231"/>
    </row>
    <row r="62" spans="1:17">
      <c r="A62" s="145" t="s">
        <v>260</v>
      </c>
      <c r="B62" s="243">
        <v>0</v>
      </c>
      <c r="C62" s="243">
        <v>0</v>
      </c>
      <c r="D62" s="243">
        <v>0</v>
      </c>
      <c r="E62" s="243">
        <v>0</v>
      </c>
      <c r="F62" s="252">
        <v>0</v>
      </c>
      <c r="G62" s="243">
        <v>0</v>
      </c>
      <c r="H62" s="243">
        <v>0</v>
      </c>
      <c r="I62" s="243">
        <v>0</v>
      </c>
      <c r="J62" s="246">
        <v>0</v>
      </c>
      <c r="K62" s="243">
        <v>0</v>
      </c>
      <c r="L62" s="252">
        <v>0</v>
      </c>
      <c r="M62" s="246">
        <v>0</v>
      </c>
      <c r="N62" s="243">
        <v>0</v>
      </c>
      <c r="Q62" s="231"/>
    </row>
    <row r="63" spans="1:17">
      <c r="A63" s="145" t="s">
        <v>240</v>
      </c>
      <c r="B63" s="243">
        <v>0</v>
      </c>
      <c r="C63" s="243">
        <v>0</v>
      </c>
      <c r="D63" s="243">
        <v>0</v>
      </c>
      <c r="E63" s="243">
        <v>0</v>
      </c>
      <c r="F63" s="252">
        <v>0</v>
      </c>
      <c r="G63" s="243">
        <v>0</v>
      </c>
      <c r="H63" s="243">
        <v>0</v>
      </c>
      <c r="I63" s="243">
        <v>0</v>
      </c>
      <c r="J63" s="246">
        <v>0</v>
      </c>
      <c r="K63" s="243">
        <v>0</v>
      </c>
      <c r="L63" s="252">
        <v>0</v>
      </c>
      <c r="M63" s="246">
        <v>0</v>
      </c>
      <c r="N63" s="243">
        <v>0</v>
      </c>
      <c r="Q63" s="231"/>
    </row>
    <row r="64" spans="1:17">
      <c r="A64" s="145" t="s">
        <v>241</v>
      </c>
      <c r="B64" s="243">
        <v>0</v>
      </c>
      <c r="C64" s="243">
        <v>0</v>
      </c>
      <c r="D64" s="243">
        <v>0</v>
      </c>
      <c r="E64" s="243">
        <v>0</v>
      </c>
      <c r="F64" s="252">
        <v>0</v>
      </c>
      <c r="G64" s="243">
        <v>0</v>
      </c>
      <c r="H64" s="243">
        <v>0</v>
      </c>
      <c r="I64" s="243">
        <v>0</v>
      </c>
      <c r="J64" s="246">
        <v>0</v>
      </c>
      <c r="K64" s="243">
        <v>0</v>
      </c>
      <c r="L64" s="252">
        <v>0</v>
      </c>
      <c r="M64" s="246">
        <v>0</v>
      </c>
      <c r="N64" s="243">
        <v>0</v>
      </c>
      <c r="Q64" s="231"/>
    </row>
    <row r="65" spans="1:17">
      <c r="A65" s="145" t="s">
        <v>242</v>
      </c>
      <c r="B65" s="243">
        <v>0</v>
      </c>
      <c r="C65" s="243">
        <v>0</v>
      </c>
      <c r="D65" s="243">
        <v>0</v>
      </c>
      <c r="E65" s="243">
        <v>0</v>
      </c>
      <c r="F65" s="252">
        <v>0</v>
      </c>
      <c r="G65" s="243">
        <v>0</v>
      </c>
      <c r="H65" s="243">
        <v>0</v>
      </c>
      <c r="I65" s="243">
        <v>0</v>
      </c>
      <c r="J65" s="246">
        <v>0</v>
      </c>
      <c r="K65" s="243">
        <v>0</v>
      </c>
      <c r="L65" s="252">
        <v>0</v>
      </c>
      <c r="M65" s="246">
        <v>0</v>
      </c>
      <c r="N65" s="243">
        <v>0</v>
      </c>
      <c r="O65" s="166">
        <f>(N71/M71-1)</f>
        <v>-0.15994849955432311</v>
      </c>
      <c r="P65" s="166">
        <f>(N71/B71-1)</f>
        <v>-0.24497062488873067</v>
      </c>
      <c r="Q65" s="231"/>
    </row>
    <row r="66" spans="1:17">
      <c r="A66" s="145" t="s">
        <v>263</v>
      </c>
      <c r="B66" s="243">
        <v>-0.63</v>
      </c>
      <c r="C66" s="243">
        <v>-0.63</v>
      </c>
      <c r="D66" s="243">
        <v>0</v>
      </c>
      <c r="E66" s="243">
        <v>0</v>
      </c>
      <c r="F66" s="252">
        <v>-0.59</v>
      </c>
      <c r="G66" s="243">
        <v>-0.6</v>
      </c>
      <c r="H66" s="243">
        <v>-0.56000000000000005</v>
      </c>
      <c r="I66" s="246">
        <v>-0.67</v>
      </c>
      <c r="J66" s="246">
        <v>-0.67</v>
      </c>
      <c r="K66" s="243">
        <v>-0.62</v>
      </c>
      <c r="L66" s="252">
        <v>-0.57599999999999996</v>
      </c>
      <c r="M66" s="246">
        <v>-0.57999999999999996</v>
      </c>
      <c r="N66" s="243">
        <v>-0.64</v>
      </c>
      <c r="Q66" s="231"/>
    </row>
    <row r="67" spans="1:17">
      <c r="A67" s="145" t="s">
        <v>264</v>
      </c>
      <c r="B67" s="243">
        <v>0</v>
      </c>
      <c r="C67" s="243">
        <v>0.03</v>
      </c>
      <c r="D67" s="243">
        <v>0</v>
      </c>
      <c r="E67" s="243">
        <v>0</v>
      </c>
      <c r="F67" s="252">
        <v>0.02</v>
      </c>
      <c r="G67" s="243">
        <v>0</v>
      </c>
      <c r="H67" s="243">
        <v>0</v>
      </c>
      <c r="I67" s="246">
        <v>0.01</v>
      </c>
      <c r="J67" s="246">
        <v>0.01</v>
      </c>
      <c r="K67" s="243">
        <v>0.01</v>
      </c>
      <c r="L67" s="252">
        <v>1.4E-2</v>
      </c>
      <c r="M67" s="246">
        <v>0.04</v>
      </c>
      <c r="N67" s="243">
        <v>0.02</v>
      </c>
      <c r="Q67" s="231"/>
    </row>
    <row r="68" spans="1:17">
      <c r="A68" s="145" t="s">
        <v>265</v>
      </c>
      <c r="B68" s="243">
        <v>0.57999999999999996</v>
      </c>
      <c r="C68" s="243">
        <v>0.56999999999999995</v>
      </c>
      <c r="D68" s="243">
        <v>0</v>
      </c>
      <c r="E68" s="243">
        <v>0</v>
      </c>
      <c r="F68" s="252">
        <v>0.54</v>
      </c>
      <c r="G68" s="243">
        <v>0.56999999999999995</v>
      </c>
      <c r="H68" s="243">
        <v>0.51</v>
      </c>
      <c r="I68" s="246">
        <v>0.62</v>
      </c>
      <c r="J68" s="246">
        <v>0.62</v>
      </c>
      <c r="K68" s="243">
        <v>0.52</v>
      </c>
      <c r="L68" s="252">
        <v>0.53</v>
      </c>
      <c r="M68" s="246">
        <v>0.51</v>
      </c>
      <c r="N68" s="243">
        <v>0.57999999999999996</v>
      </c>
      <c r="Q68" s="231"/>
    </row>
    <row r="69" spans="1:17">
      <c r="A69" s="145" t="s">
        <v>266</v>
      </c>
      <c r="B69" s="243">
        <v>0.02</v>
      </c>
      <c r="C69" s="243">
        <v>0.01</v>
      </c>
      <c r="D69" s="243">
        <v>0</v>
      </c>
      <c r="E69" s="243">
        <v>0</v>
      </c>
      <c r="F69" s="252">
        <v>0.01</v>
      </c>
      <c r="G69" s="243">
        <v>0.01</v>
      </c>
      <c r="H69" s="243">
        <v>0.01</v>
      </c>
      <c r="I69" s="246">
        <v>0.01</v>
      </c>
      <c r="J69" s="246">
        <v>0.01</v>
      </c>
      <c r="K69" s="243">
        <v>0.01</v>
      </c>
      <c r="L69" s="252">
        <v>0.01</v>
      </c>
      <c r="M69" s="246">
        <v>0.01</v>
      </c>
      <c r="N69" s="243">
        <v>0.01</v>
      </c>
      <c r="Q69" s="231"/>
    </row>
    <row r="70" spans="1:17">
      <c r="A70" s="145" t="s">
        <v>330</v>
      </c>
      <c r="B70" s="241"/>
      <c r="C70" s="241"/>
      <c r="D70" s="241"/>
      <c r="E70" s="241"/>
      <c r="F70" s="241"/>
      <c r="G70" s="241">
        <v>-0.01</v>
      </c>
      <c r="H70" s="241">
        <v>-0.01</v>
      </c>
      <c r="I70" s="241">
        <v>-0.01</v>
      </c>
      <c r="J70" s="241">
        <v>-0.01</v>
      </c>
      <c r="K70" s="241">
        <v>-0.01</v>
      </c>
      <c r="L70" s="248">
        <v>0</v>
      </c>
      <c r="M70" s="241">
        <v>-0.01</v>
      </c>
      <c r="N70" s="241">
        <v>-0.01</v>
      </c>
      <c r="Q70" s="231"/>
    </row>
    <row r="71" spans="1:17">
      <c r="A71" s="244" t="s">
        <v>66</v>
      </c>
      <c r="B71" s="242">
        <v>112.34</v>
      </c>
      <c r="C71" s="242">
        <v>104.24</v>
      </c>
      <c r="D71" s="242">
        <v>80.260000000000005</v>
      </c>
      <c r="E71" s="242">
        <v>85.29</v>
      </c>
      <c r="F71" s="242">
        <v>85.65</v>
      </c>
      <c r="G71" s="242">
        <v>50.38</v>
      </c>
      <c r="H71" s="242">
        <v>34.169999999999987</v>
      </c>
      <c r="I71" s="242">
        <v>31.506000000000007</v>
      </c>
      <c r="J71" s="242">
        <v>44.48</v>
      </c>
      <c r="K71" s="242">
        <v>68.41</v>
      </c>
      <c r="L71" s="242">
        <v>81.05</v>
      </c>
      <c r="M71" s="240">
        <v>100.97</v>
      </c>
      <c r="N71" s="240">
        <v>84.82</v>
      </c>
    </row>
    <row r="72" spans="1:17">
      <c r="B72" s="237"/>
      <c r="C72" s="237"/>
      <c r="D72" s="237"/>
      <c r="E72" s="237"/>
      <c r="F72" s="237"/>
    </row>
    <row r="74" spans="1:17">
      <c r="L74" s="66"/>
    </row>
    <row r="80" spans="1:17">
      <c r="A80" s="230" t="s">
        <v>19</v>
      </c>
      <c r="B80" s="230"/>
      <c r="C80" s="230"/>
      <c r="D80" s="93"/>
      <c r="E80" s="94"/>
      <c r="F80" s="94"/>
      <c r="G80" s="94"/>
      <c r="H80" s="94"/>
      <c r="I80" s="94"/>
      <c r="J80" s="94"/>
      <c r="K80" s="94"/>
      <c r="L80" s="94"/>
      <c r="M80" s="94"/>
      <c r="N80" s="94"/>
    </row>
    <row r="81" spans="1:16">
      <c r="A81" s="90"/>
      <c r="B81" s="95" t="str">
        <f>MID(B43,6,1)</f>
        <v>S</v>
      </c>
      <c r="C81" s="95" t="str">
        <f t="shared" ref="C81:N81" si="0">MID(C43,6,1)</f>
        <v>O</v>
      </c>
      <c r="D81" s="95" t="str">
        <f t="shared" si="0"/>
        <v>N</v>
      </c>
      <c r="E81" s="95" t="str">
        <f t="shared" si="0"/>
        <v>D</v>
      </c>
      <c r="F81" s="95" t="str">
        <f t="shared" si="0"/>
        <v>E</v>
      </c>
      <c r="G81" s="95" t="str">
        <f t="shared" si="0"/>
        <v>F</v>
      </c>
      <c r="H81" s="95" t="str">
        <f t="shared" si="0"/>
        <v>M</v>
      </c>
      <c r="I81" s="95" t="str">
        <f t="shared" si="0"/>
        <v>A</v>
      </c>
      <c r="J81" s="95" t="str">
        <f t="shared" si="0"/>
        <v>M</v>
      </c>
      <c r="K81" s="95" t="str">
        <f t="shared" si="0"/>
        <v>J</v>
      </c>
      <c r="L81" s="95" t="str">
        <f t="shared" si="0"/>
        <v>J</v>
      </c>
      <c r="M81" s="95" t="str">
        <f t="shared" si="0"/>
        <v>A</v>
      </c>
      <c r="N81" s="95" t="str">
        <f t="shared" si="0"/>
        <v>S</v>
      </c>
    </row>
    <row r="82" spans="1:16">
      <c r="A82" s="91" t="s">
        <v>21</v>
      </c>
      <c r="B82" s="96">
        <f>VLOOKUP("Restricciones PBF",$A$45:$N$71,2,FALSE)</f>
        <v>2.79</v>
      </c>
      <c r="C82" s="96">
        <f>VLOOKUP("Restricciones PBF",$A$45:$N$71,3,FALSE)</f>
        <v>5.0999999999999996</v>
      </c>
      <c r="D82" s="96">
        <f>VLOOKUP("Restricciones PBF",$A$45:$N$71,4,FALSE)</f>
        <v>6</v>
      </c>
      <c r="E82" s="96">
        <f>VLOOKUP("Restricciones PBF",$A$45:$N$71,5,FALSE)</f>
        <v>4.01</v>
      </c>
      <c r="F82" s="96">
        <f>VLOOKUP("Restricciones PBF",$A$45:$N$71,6,FALSE)</f>
        <v>2.97</v>
      </c>
      <c r="G82" s="96">
        <f>VLOOKUP("Restricciones PBF",$A$45:$N$71,7,FALSE)</f>
        <v>4.03</v>
      </c>
      <c r="H82" s="96">
        <f>VLOOKUP("Restricciones PBF",$A$45:$N$71,8,FALSE)</f>
        <v>7.16</v>
      </c>
      <c r="I82" s="96">
        <f>VLOOKUP("Restricciones PBF",$A$45:$N$71,9,FALSE)</f>
        <v>9.5419999999999998</v>
      </c>
      <c r="J82" s="96">
        <f>VLOOKUP("Restricciones PBF",$A$45:$N$71,10,FALSE)</f>
        <v>9.01</v>
      </c>
      <c r="K82" s="96">
        <f>VLOOKUP("Restricciones PBF",$A$45:$N$71,11,FALSE)</f>
        <v>5.55</v>
      </c>
      <c r="L82" s="96">
        <f>VLOOKUP("Restricciones PBF",$A$45:$N$71,12,FALSE)</f>
        <v>3.41</v>
      </c>
      <c r="M82" s="96">
        <f>VLOOKUP("Restricciones PBF",$A$45:$N$71,13,FALSE)</f>
        <v>3.45</v>
      </c>
      <c r="N82" s="96">
        <f>VLOOKUP("Restricciones PBF",$A$45:$N$71,14,FALSE)</f>
        <v>4.53</v>
      </c>
    </row>
    <row r="83" spans="1:16">
      <c r="A83" s="91" t="s">
        <v>25</v>
      </c>
      <c r="B83" s="96">
        <f>VLOOKUP("Restricciones TR",$A$45:$N$71,2,FALSE)</f>
        <v>3.39</v>
      </c>
      <c r="C83" s="96">
        <f>VLOOKUP("Restricciones TR",$A$45:$N$71,3,FALSE)</f>
        <v>5.37</v>
      </c>
      <c r="D83" s="96">
        <f>VLOOKUP("Restricciones TR",$A$45:$N$71,4,FALSE)</f>
        <v>5.36</v>
      </c>
      <c r="E83" s="96">
        <f>VLOOKUP("Restricciones TR",$A$45:$N$71,5,FALSE)</f>
        <v>4.4400000000000004</v>
      </c>
      <c r="F83" s="96">
        <f>VLOOKUP("Restricciones TR",$A$45:$N$71,6,FALSE)</f>
        <v>3.09</v>
      </c>
      <c r="G83" s="96">
        <f>VLOOKUP("Restricciones TR",$A$45:$N$71,7,FALSE)</f>
        <v>3.17</v>
      </c>
      <c r="H83" s="96">
        <f>VLOOKUP("Restricciones TR",$A$45:$N$71,8,FALSE)</f>
        <v>3.41</v>
      </c>
      <c r="I83" s="96">
        <f>VLOOKUP("Restricciones TR",$A$45:$N$71,9,FALSE)</f>
        <v>5.63</v>
      </c>
      <c r="J83" s="96">
        <f>VLOOKUP("Restricciones TR",$A$45:$N$71,10,FALSE)</f>
        <v>3.11</v>
      </c>
      <c r="K83" s="96">
        <f>VLOOKUP("Restricciones TR",$A$45:$N$71,11,FALSE)</f>
        <v>2.64</v>
      </c>
      <c r="L83" s="96">
        <f>VLOOKUP("Restricciones TR",$A$45:$N$71,12,FALSE)</f>
        <v>2.81</v>
      </c>
      <c r="M83" s="96">
        <f>VLOOKUP("Restricciones TR",$A$45:$N$71,13,FALSE)</f>
        <v>3.21</v>
      </c>
      <c r="N83" s="96">
        <f>VLOOKUP("Restricciones TR",$A$45:$N$71,14,FALSE)</f>
        <v>3.66</v>
      </c>
    </row>
    <row r="84" spans="1:16">
      <c r="A84" s="91" t="s">
        <v>248</v>
      </c>
      <c r="B84" s="96">
        <f>B53+B54+B68+B69</f>
        <v>2.33</v>
      </c>
      <c r="C84" s="96">
        <f t="shared" ref="C84:H84" si="1">C53+C54+C68+C69</f>
        <v>3.3299999999999996</v>
      </c>
      <c r="D84" s="96">
        <f t="shared" si="1"/>
        <v>2.13</v>
      </c>
      <c r="E84" s="96">
        <f t="shared" si="1"/>
        <v>1.9100000000000001</v>
      </c>
      <c r="F84" s="96">
        <f t="shared" si="1"/>
        <v>2.4799999999999995</v>
      </c>
      <c r="G84" s="96">
        <f>G53+G54+G68+G69</f>
        <v>2.38</v>
      </c>
      <c r="H84" s="96">
        <f t="shared" si="1"/>
        <v>2.2599999999999998</v>
      </c>
      <c r="I84" s="96">
        <f>I53+I54+I68+I69</f>
        <v>2.1999999999999997</v>
      </c>
      <c r="J84" s="96">
        <f>J53+J54+J68+J69</f>
        <v>2.5599999999999996</v>
      </c>
      <c r="K84" s="96">
        <f t="shared" ref="K84:L84" si="2">K53+K54+K68+K69</f>
        <v>3.67</v>
      </c>
      <c r="L84" s="96">
        <f t="shared" si="2"/>
        <v>2.2299999999999995</v>
      </c>
      <c r="M84" s="96">
        <f>M53+M54+M68+M69</f>
        <v>2.2199999999999998</v>
      </c>
      <c r="N84" s="96">
        <f>N53+N54+N68+N69</f>
        <v>2.7399999999999998</v>
      </c>
    </row>
    <row r="85" spans="1:16">
      <c r="A85" s="91" t="s">
        <v>61</v>
      </c>
      <c r="B85" s="96">
        <f>VLOOKUP("Incumplimiento energía balance",$A$45:$N$71,2,FALSE)</f>
        <v>-0.2</v>
      </c>
      <c r="C85" s="96">
        <f>VLOOKUP("Incumplimiento energía balance",$A$45:$N$71,3,FALSE)</f>
        <v>-0.19</v>
      </c>
      <c r="D85" s="96">
        <f>VLOOKUP("Incumplimiento energía balance",$A$45:$N$71,4,FALSE)</f>
        <v>-0.1</v>
      </c>
      <c r="E85" s="96">
        <f>VLOOKUP("Incumplimiento energía balance",$A$45:$N$71,5,FALSE)</f>
        <v>-0.18</v>
      </c>
      <c r="F85" s="96">
        <f>VLOOKUP("Incumplimiento energía balance",$A$45:$N$71,6,FALSE)</f>
        <v>-0.14000000000000001</v>
      </c>
      <c r="G85" s="96">
        <f>VLOOKUP("Incumplimiento energía balance",$A$45:$N$71,7,FALSE)</f>
        <v>-0.08</v>
      </c>
      <c r="H85" s="96">
        <f>VLOOKUP("Incumplimiento energía balance",$A$45:$N$71,8,FALSE)</f>
        <v>-0.02</v>
      </c>
      <c r="I85" s="96">
        <f>VLOOKUP("Incumplimiento energía balance",$A$45:$N$71,9,FALSE)</f>
        <v>-0.02</v>
      </c>
      <c r="J85" s="96">
        <f>VLOOKUP("Incumplimiento energía balance",$A$45:$N$71,10,FALSE)</f>
        <v>-0.06</v>
      </c>
      <c r="K85" s="96">
        <f>VLOOKUP("Incumplimiento energía balance",$A$45:$N$71,11,FALSE)</f>
        <v>-0.09</v>
      </c>
      <c r="L85" s="96">
        <f>VLOOKUP("Incumplimiento energía balance",$A$45:$N$71,12,FALSE)</f>
        <v>-0.08</v>
      </c>
      <c r="M85" s="96">
        <f>VLOOKUP("Incumplimiento energía balance",$A$45:$N$71,13,FALSE)</f>
        <v>-0.08</v>
      </c>
      <c r="N85" s="96">
        <f>VLOOKUP("Incumplimiento energía balance",$A$45:$N$71,14,FALSE)</f>
        <v>-0.11</v>
      </c>
    </row>
    <row r="86" spans="1:16">
      <c r="A86" s="91" t="s">
        <v>62</v>
      </c>
      <c r="B86" s="96">
        <f>VLOOKUP("Coste desvíos",$A$45:$N$71,2,FALSE)</f>
        <v>0.55000000000000004</v>
      </c>
      <c r="C86" s="96">
        <f>VLOOKUP("Coste desvíos",$A$45:$N$71,3,FALSE)</f>
        <v>0.39</v>
      </c>
      <c r="D86" s="96">
        <f>VLOOKUP("Coste desvíos",$A$45:$N$71,4,FALSE)</f>
        <v>0.34</v>
      </c>
      <c r="E86" s="96">
        <f>VLOOKUP("Coste desvíos",$A$45:$N$71,5,FALSE)</f>
        <v>0.37</v>
      </c>
      <c r="F86" s="96">
        <f>VLOOKUP("Coste desvíos",$A$45:$N$71,6,FALSE)</f>
        <v>0.42</v>
      </c>
      <c r="G86" s="96">
        <f>VLOOKUP("Coste desvíos",$A$45:$N$71,7,FALSE)</f>
        <v>0.3</v>
      </c>
      <c r="H86" s="96">
        <f>VLOOKUP("Coste desvíos",$A$45:$N$71,8,FALSE)</f>
        <v>0.28999999999999998</v>
      </c>
      <c r="I86" s="96">
        <f>VLOOKUP("Coste desvíos",$A$45:$N$71,9,FALSE)</f>
        <v>0.51</v>
      </c>
      <c r="J86" s="96">
        <f>VLOOKUP("Coste desvíos",$A$45:$N$71,10,FALSE)</f>
        <v>0.38</v>
      </c>
      <c r="K86" s="96">
        <f>VLOOKUP("Coste desvíos",$A$45:$N$71,11,FALSE)</f>
        <v>0.37</v>
      </c>
      <c r="L86" s="96">
        <f>VLOOKUP("Coste desvíos",$A$45:$N$71,12,FALSE)</f>
        <v>0.3</v>
      </c>
      <c r="M86" s="96">
        <f>VLOOKUP("Coste desvíos",$A$45:$N$71,12,FALSE)</f>
        <v>0.3</v>
      </c>
      <c r="N86" s="96">
        <f>VLOOKUP("Coste desvíos",$A$45:$N$71,14,FALSE)</f>
        <v>0.46</v>
      </c>
    </row>
    <row r="87" spans="1:16">
      <c r="A87" s="91" t="s">
        <v>63</v>
      </c>
      <c r="B87" s="96">
        <f>VLOOKUP("Saldo desvíos",$A$45:$N$71,2,FALSE)</f>
        <v>0.02</v>
      </c>
      <c r="C87" s="96">
        <f>VLOOKUP("Saldo desvíos",$A$45:$N$71,3,FALSE)</f>
        <v>0.18</v>
      </c>
      <c r="D87" s="96">
        <f>VLOOKUP("Saldo desvíos",$A$45:$N$71,4,FALSE)</f>
        <v>0.44</v>
      </c>
      <c r="E87" s="96">
        <f>VLOOKUP("Saldo desvíos",$A$45:$N$71,5,FALSE)</f>
        <v>0.2</v>
      </c>
      <c r="F87" s="96">
        <f>VLOOKUP("Saldo desvíos",$A$45:$N$71,6,FALSE)</f>
        <v>0.34</v>
      </c>
      <c r="G87" s="96">
        <f>VLOOKUP("Saldo desvíos",$A$45:$N$71,7,FALSE)</f>
        <v>0.28000000000000003</v>
      </c>
      <c r="H87" s="96">
        <f>VLOOKUP("Saldo desvíos",$A$45:$N$71,8,FALSE)</f>
        <v>0.23</v>
      </c>
      <c r="I87" s="96">
        <f>VLOOKUP("Saldo desvíos",$A$45:$N$71,9,FALSE)</f>
        <v>0.27</v>
      </c>
      <c r="J87" s="96">
        <f>VLOOKUP("Saldo desvíos",$A$45:$N$71,10,FALSE)</f>
        <v>0</v>
      </c>
      <c r="K87" s="96">
        <f>VLOOKUP("Saldo desvíos",$A$45:$N$71,11,FALSE)</f>
        <v>0.05</v>
      </c>
      <c r="L87" s="96">
        <f>VLOOKUP("Saldo desvíos",$A$45:$N$71,12,FALSE)</f>
        <v>0.09</v>
      </c>
      <c r="M87" s="96">
        <f>VLOOKUP("Saldo desvíos",$A$45:$N$71,12,FALSE)</f>
        <v>0.09</v>
      </c>
      <c r="N87" s="96">
        <f>VLOOKUP("Saldo desvíos",$A$45:$N$71,14,FALSE)</f>
        <v>0.73</v>
      </c>
    </row>
    <row r="88" spans="1:16">
      <c r="A88" s="91" t="s">
        <v>23</v>
      </c>
      <c r="B88" s="96">
        <f>VLOOKUP("Control del factor de potencia",$A$45:$N$71,2,FALSE)</f>
        <v>-7.0000000000000007E-2</v>
      </c>
      <c r="C88" s="96">
        <f>VLOOKUP("Control del factor de potencia",$A$45:$N$71,3,FALSE)</f>
        <v>-0.09</v>
      </c>
      <c r="D88" s="96">
        <f>VLOOKUP("Control del factor de potencia",$A$45:$N$71,4,FALSE)</f>
        <v>-0.09</v>
      </c>
      <c r="E88" s="96">
        <f>VLOOKUP("Control del factor de potencia",$A$45:$N$71,5,FALSE)</f>
        <v>-0.09</v>
      </c>
      <c r="F88" s="96">
        <f>VLOOKUP("Control del factor de potencia",$A$45:$N$71,6,FALSE)</f>
        <v>-0.09</v>
      </c>
      <c r="G88" s="96">
        <f>VLOOKUP("Control del factor de potencia",$A$45:$N$71,7,FALSE)</f>
        <v>-0.14000000000000001</v>
      </c>
      <c r="H88" s="96">
        <f>VLOOKUP("Control del factor de potencia",$A$45:$N$71,8,FALSE)</f>
        <v>-0.13</v>
      </c>
      <c r="I88" s="96">
        <f>VLOOKUP("Control del factor de potencia",$A$45:$N$71,9,FALSE)</f>
        <v>-0.12</v>
      </c>
      <c r="J88" s="96">
        <f>VLOOKUP("Control del factor de potencia",$A$45:$N$71,10,FALSE)</f>
        <v>-0.13</v>
      </c>
      <c r="K88" s="96">
        <f>VLOOKUP("Control del factor de potencia",$A$45:$N$71,11,FALSE)</f>
        <v>-0.11</v>
      </c>
      <c r="L88" s="96">
        <f>VLOOKUP("Control del factor de potencia",$A$45:$N$71,12,FALSE)</f>
        <v>-0.09</v>
      </c>
      <c r="M88" s="96">
        <f>VLOOKUP("Control del factor de potencia",$A$45:$N$71,13,FALSE)</f>
        <v>-0.1</v>
      </c>
      <c r="N88" s="96">
        <f>VLOOKUP("Control del factor de potencia",$A$45:$N$71,14,FALSE)</f>
        <v>-0.11</v>
      </c>
    </row>
    <row r="89" spans="1:16">
      <c r="A89" s="91" t="s">
        <v>283</v>
      </c>
      <c r="B89" s="96">
        <f>VLOOKUP("Servicio respuesta activa (potencia)",$A$45:$N$71,2,FALSE)+VLOOKUP("Servicio respuesta activa (I)",$A$45:$N$71,2,FALSE)+VLOOKUP("Ingreso control de tensión",$A$45:$N$71,2,FALSE)</f>
        <v>-0.63</v>
      </c>
      <c r="C89" s="96">
        <f>VLOOKUP("Servicio respuesta activa (potencia)",$A$45:$N$71,3,FALSE)+VLOOKUP("Servicio respuesta activa (I)",$A$45:$N$71,3,FALSE)+VLOOKUP("Ingreso control de tensión",$A$45:$N$71,3,FALSE)</f>
        <v>-0.6</v>
      </c>
      <c r="D89" s="96">
        <f>VLOOKUP("Servicio respuesta activa (potencia)",$A$45:$N$71,4,FALSE)+VLOOKUP("Servicio respuesta activa (I)",$A$45:$N$71,4,FALSE)+VLOOKUP("Ingreso control de tensión",$A$45:$N$71,4,FALSE)</f>
        <v>0</v>
      </c>
      <c r="E89" s="96">
        <f>VLOOKUP("Servicio respuesta activa (potencia)",$A$45:$N$71,5,FALSE)+VLOOKUP("Servicio respuesta activa (I)",$A$45:$N$71,5,FALSE)+VLOOKUP("Ingreso control de tensión",$A$45:$N$71,5,FALSE)</f>
        <v>0</v>
      </c>
      <c r="F89" s="96">
        <f>VLOOKUP("Servicio respuesta activa (potencia)",$A$45:$N$71,6,FALSE)+VLOOKUP("Servicio respuesta activa (I)",$A$45:$N$71,6,FALSE)+VLOOKUP("Ingreso control de tensión",$A$45:$N$71,6,FALSE)</f>
        <v>-0.56999999999999995</v>
      </c>
      <c r="G89" s="96">
        <f>VLOOKUP("Servicio respuesta activa (potencia)",$A$45:$N$71,7,FALSE)+VLOOKUP("Servicio respuesta activa (I)",$A$45:$N$71,7,FALSE)+VLOOKUP("Ingreso control de tensión",$A$45:$N$71,7,FALSE)</f>
        <v>-0.61</v>
      </c>
      <c r="H89" s="96">
        <f>VLOOKUP("Servicio respuesta activa (potencia)",$A$45:$N$71,8,FALSE)+VLOOKUP("Servicio respuesta activa (I)",$A$45:$N$71,8,FALSE)+VLOOKUP("Ingreso control de tensión",$A$45:$N$71,8,FALSE)</f>
        <v>-0.57000000000000006</v>
      </c>
      <c r="I89" s="96">
        <f>VLOOKUP("Servicio respuesta activa (potencia)",$A$45:$N$71,9,FALSE)+VLOOKUP("Servicio respuesta activa (I)",$A$45:$N$71,9,FALSE)+VLOOKUP("Ingreso control de tensión",$A$45:$N$71,9,FALSE)</f>
        <v>-0.67</v>
      </c>
      <c r="J89" s="96">
        <f>VLOOKUP("Servicio respuesta activa (potencia)",$A$45:$N$71,10,FALSE)+VLOOKUP("Servicio respuesta activa (I)",$A$45:$N$71,10,FALSE)+VLOOKUP("Ingreso control de tensión",$A$45:$N$71,10,FALSE)</f>
        <v>-0.67</v>
      </c>
      <c r="K89" s="96">
        <f>VLOOKUP("Servicio respuesta activa (potencia)",$A$45:$N$71,11,FALSE)+VLOOKUP("Servicio respuesta activa (I)",$A$45:$N$71,11,FALSE)+VLOOKUP("Ingreso control de tensión",$A$45:$N$71,11,FALSE)</f>
        <v>-0.62</v>
      </c>
      <c r="L89" s="96">
        <f>VLOOKUP("Servicio respuesta activa (potencia)",$A$45:$N$71,12,FALSE)+VLOOKUP("Ingreso control de tensión",$A$45:$N$71,12,FALSE)+VLOOKUP("Servicio respuesta activa (I)",$A$45:$N$71,12,FALSE)</f>
        <v>-0.56199999999999994</v>
      </c>
      <c r="M89" s="96">
        <f>VLOOKUP("Servicio respuesta activa (potencia)",$A$45:$N$71,13,FALSE)+VLOOKUP("Ingreso control de tensión",$A$45:$N$71,13,FALSE)+VLOOKUP("Servicio respuesta activa (I)",$A$45:$N$71,13,FALSE)</f>
        <v>-0.54999999999999993</v>
      </c>
      <c r="N89" s="96">
        <f>VLOOKUP("Servicio respuesta activa (potencia)",$A$45:$N$71,14,FALSE)+VLOOKUP("Ingreso control de tensión",$A$45:$N$71,14,FALSE)+VLOOKUP("Servicio respuesta activa (I)",$A$45:$N$71,14,FALSE)</f>
        <v>-0.63</v>
      </c>
    </row>
    <row r="90" spans="1:16" ht="12" customHeight="1">
      <c r="A90" s="92" t="s">
        <v>65</v>
      </c>
      <c r="B90" s="97">
        <f>VLOOKUP("Saldo PO 14.6",$A$45:$N$71,2,FALSE)</f>
        <v>0.05</v>
      </c>
      <c r="C90" s="97">
        <f>VLOOKUP("Saldo PO 14.6",$A$45:$N$71,3,FALSE)</f>
        <v>0.05</v>
      </c>
      <c r="D90" s="97">
        <f>VLOOKUP("Saldo PO 14.6",$A$45:$N$71,4,FALSE)</f>
        <v>0.04</v>
      </c>
      <c r="E90" s="97">
        <f>VLOOKUP("Saldo PO 14.6",$A$45:$N$71,5,FALSE)</f>
        <v>0.04</v>
      </c>
      <c r="F90" s="97">
        <f>VLOOKUP("Saldo PO 14.6",$A$45:$N$71,6,FALSE)</f>
        <v>0.02</v>
      </c>
      <c r="G90" s="97">
        <f>VLOOKUP("Saldo PO 14.6",$A$45:$N$71,7,FALSE)</f>
        <v>0.04</v>
      </c>
      <c r="H90" s="97">
        <f>VLOOKUP("Saldo PO 14.6",$A$45:$N$71,8,FALSE)</f>
        <v>0.03</v>
      </c>
      <c r="I90" s="97">
        <f>VLOOKUP("Saldo PO 14.6",$A$45:$N$71,9,FALSE)</f>
        <v>0.03</v>
      </c>
      <c r="J90" s="97">
        <f>VLOOKUP("Saldo PO 14.6",$A$45:$N$71,10,FALSE)</f>
        <v>0.05</v>
      </c>
      <c r="K90" s="97">
        <f>VLOOKUP("Saldo PO 14.6",$A$45:$N$71,11,FALSE)</f>
        <v>0.04</v>
      </c>
      <c r="L90" s="97">
        <f>VLOOKUP("Saldo PO 14.6",$A$45:$N$71,12,FALSE)</f>
        <v>0.06</v>
      </c>
      <c r="M90" s="97">
        <f>VLOOKUP("Saldo PO 14.6",$A$45:$N$71,13,FALSE)</f>
        <v>0.04</v>
      </c>
      <c r="N90" s="97">
        <f>VLOOKUP("Saldo PO 14.6",$A$45:$N$71,14,FALSE)</f>
        <v>0.04</v>
      </c>
      <c r="O90" s="166">
        <f>(SUM(N82:N90)/SUM(B82:B90)-1)</f>
        <v>0.37424058323207787</v>
      </c>
      <c r="P90" s="179">
        <f>O90*100</f>
        <v>37.424058323207788</v>
      </c>
    </row>
    <row r="91" spans="1:16">
      <c r="M91" s="66"/>
      <c r="N91" s="66">
        <f>SUM(N82:N90)</f>
        <v>11.310000000000002</v>
      </c>
    </row>
    <row r="92" spans="1:16">
      <c r="A92" s="110" t="s">
        <v>44</v>
      </c>
      <c r="B92" s="89"/>
      <c r="C92" s="89"/>
      <c r="D92" s="89"/>
      <c r="E92" s="89"/>
      <c r="F92" s="89"/>
      <c r="G92" s="89"/>
      <c r="H92" s="89"/>
      <c r="I92" s="89"/>
      <c r="J92" s="89"/>
      <c r="K92" s="89"/>
      <c r="L92" s="89"/>
      <c r="N92" s="166"/>
    </row>
    <row r="93" spans="1:16" ht="39.6" customHeight="1">
      <c r="A93" s="172"/>
      <c r="B93" s="174" t="s">
        <v>1</v>
      </c>
      <c r="C93" s="174" t="s">
        <v>2</v>
      </c>
      <c r="D93" s="174" t="s">
        <v>45</v>
      </c>
      <c r="E93" s="174" t="s">
        <v>34</v>
      </c>
      <c r="F93" s="174" t="s">
        <v>236</v>
      </c>
      <c r="G93" s="174" t="s">
        <v>17</v>
      </c>
      <c r="H93" s="174" t="s">
        <v>33</v>
      </c>
      <c r="I93" s="172" t="s">
        <v>22</v>
      </c>
      <c r="J93" s="174" t="s">
        <v>37</v>
      </c>
      <c r="K93" s="172" t="s">
        <v>0</v>
      </c>
      <c r="L93" s="172" t="s">
        <v>127</v>
      </c>
    </row>
    <row r="94" spans="1:16">
      <c r="A94" s="87" t="s">
        <v>35</v>
      </c>
      <c r="B94" s="108">
        <f>VLOOKUP("Mercado Diario",$A$45:$N$61,14,FALSE)</f>
        <v>73.44</v>
      </c>
      <c r="C94" s="108">
        <f>VLOOKUP("Mercado Intradiario",$A$45:$N$61,14,FALSE)</f>
        <v>-0.09</v>
      </c>
      <c r="D94" s="108">
        <f>SUM(B94:C94)</f>
        <v>73.349999999999994</v>
      </c>
      <c r="E94" s="108">
        <f>VLOOKUP("Pago capacidad",$A$45:$N$61,14,FALSE)</f>
        <v>0.16</v>
      </c>
      <c r="F94" s="108">
        <f>VLOOKUP("Mecanismo Ajuste RD-L10/2022 Coste OM",$A$45:$N$71,14,FALSE)+VLOOKUP("Mecanismo Ajuste RD-L10/2022 Coste OS",$A$45:$N$71,14,FALSE)+VLOOKUP("Mecanismo Ajuste RD-L10/2022 Ajuste OS",$A$45:$N$71,14,FALSE)</f>
        <v>0</v>
      </c>
      <c r="G94" s="108">
        <f>E466</f>
        <v>11.310000000000002</v>
      </c>
      <c r="H94" s="108">
        <f>VLOOKUP("Restricciones PBF",$A$45:$N$61,14,FALSE)</f>
        <v>4.53</v>
      </c>
      <c r="I94" s="108">
        <f>N84</f>
        <v>2.7399999999999998</v>
      </c>
      <c r="J94" s="108">
        <f>N83+N85+N86+N87+N88+N89+N90</f>
        <v>4.04</v>
      </c>
      <c r="K94" s="108">
        <f>N71</f>
        <v>84.82</v>
      </c>
      <c r="L94" s="116">
        <f>K94-SUM(D94:G94)</f>
        <v>0</v>
      </c>
    </row>
    <row r="95" spans="1:16">
      <c r="A95" s="88"/>
      <c r="B95" s="88"/>
      <c r="C95" s="88"/>
      <c r="D95" s="220">
        <f>D94/$K$94</f>
        <v>0.86477245932563074</v>
      </c>
      <c r="E95" s="220">
        <f t="shared" ref="E95:F95" si="3">E94/$K$94</f>
        <v>1.8863475595378451E-3</v>
      </c>
      <c r="F95" s="220">
        <f t="shared" si="3"/>
        <v>0</v>
      </c>
      <c r="G95" s="222">
        <f>G94/$K$94</f>
        <v>0.13334119311483145</v>
      </c>
    </row>
    <row r="96" spans="1:16">
      <c r="A96" s="88" t="s">
        <v>178</v>
      </c>
      <c r="B96" s="88"/>
      <c r="C96" s="88"/>
      <c r="D96" s="88"/>
      <c r="E96" s="88"/>
      <c r="F96" s="88"/>
      <c r="G96" s="88"/>
    </row>
    <row r="97" spans="1:7">
      <c r="A97" s="187"/>
      <c r="B97" s="188"/>
      <c r="C97" s="224" t="str">
        <f>N43</f>
        <v>2024 Septiembre</v>
      </c>
      <c r="D97" s="172"/>
      <c r="E97" s="187"/>
      <c r="F97" s="188"/>
      <c r="G97" s="180" t="str">
        <f>B43</f>
        <v>2023 Septiembre</v>
      </c>
    </row>
    <row r="98" spans="1:7">
      <c r="A98" s="142" t="s">
        <v>56</v>
      </c>
      <c r="B98" s="96"/>
      <c r="C98" s="96">
        <f>IF(VLOOKUP(A98,Dat_01!$A$46:$N$71,14,FALSE)=0,"-",VLOOKUP(A98,Dat_01!$A$46:$N$71,14,FALSE)*Dat_01!$N$45)</f>
        <v>83336040.221100003</v>
      </c>
      <c r="D98" s="96"/>
      <c r="E98" s="142" t="s">
        <v>56</v>
      </c>
      <c r="F98" s="96"/>
      <c r="G98" s="96">
        <f>IF(VLOOKUP(E98,Dat_01!$A$45:$N$71,2,FALSE)=0,"-",VLOOKUP(E98,Dat_01!$A$45:$N$71,2,FALSE)*Dat_01!$B$45)</f>
        <v>51320378.192939997</v>
      </c>
    </row>
    <row r="99" spans="1:7">
      <c r="A99" s="142" t="s">
        <v>57</v>
      </c>
      <c r="B99" s="96"/>
      <c r="C99" s="96">
        <f>IF(VLOOKUP(A99,Dat_01!$A$45:$N$71,14,FALSE)=0,"-",VLOOKUP(A99,Dat_01!$A$45:$N$71,14,FALSE)*Dat_01!$N$45)</f>
        <v>67331105.3442</v>
      </c>
      <c r="D99" s="96"/>
      <c r="E99" s="142" t="s">
        <v>57</v>
      </c>
      <c r="F99" s="96"/>
      <c r="G99" s="96">
        <f>IF(VLOOKUP(E99,Dat_01!$A$45:$N$71,2,FALSE)=0,"-",VLOOKUP(E99,Dat_01!$A$45:$N$71,2,FALSE)*Dat_01!$B$45)</f>
        <v>62357018.66454</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50774276.161200002</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42858953.831379995</v>
      </c>
    </row>
    <row r="102" spans="1:7">
      <c r="A102" s="142" t="s">
        <v>62</v>
      </c>
      <c r="B102" s="96"/>
      <c r="C102" s="96">
        <f>IF(VLOOKUP(A102,Dat_01!$A$45:$N$71,14,FALSE)=0,"-",VLOOKUP(A102,Dat_01!$A$45:$N$71,14,FALSE)*Dat_01!$N$45)</f>
        <v>8462379.3602000009</v>
      </c>
      <c r="D102" s="96"/>
      <c r="E102" s="142" t="s">
        <v>62</v>
      </c>
      <c r="F102" s="96"/>
      <c r="G102" s="96">
        <f>IF(VLOOKUP(E102,Dat_01!$A$45:$N$71,2,FALSE)=0,"-",VLOOKUP(E102,Dat_01!$A$45:$N$71,2,FALSE)*Dat_01!$B$45)</f>
        <v>10116920.4323</v>
      </c>
    </row>
    <row r="103" spans="1:7">
      <c r="A103" s="142" t="s">
        <v>61</v>
      </c>
      <c r="B103" s="96"/>
      <c r="C103" s="96">
        <f>IF(VLOOKUP(A103,Dat_01!$A$45:$N$71,14,FALSE)=0,"-",VLOOKUP(A103,Dat_01!$A$45:$N$71,14,FALSE)*Dat_01!$N$45)</f>
        <v>-2023612.4557</v>
      </c>
      <c r="D103" s="96"/>
      <c r="E103" s="142" t="s">
        <v>61</v>
      </c>
      <c r="F103" s="96"/>
      <c r="G103" s="96">
        <f>IF(VLOOKUP(E103,Dat_01!$A$45:$N$71,2,FALSE)=0,"-",VLOOKUP(E103,Dat_01!$A$45:$N$71,2,FALSE)*Dat_01!$B$45)</f>
        <v>-3678880.1571999998</v>
      </c>
    </row>
    <row r="104" spans="1:7">
      <c r="A104" s="142" t="s">
        <v>63</v>
      </c>
      <c r="B104" s="96"/>
      <c r="C104" s="96">
        <f>IF(VLOOKUP(A104,Dat_01!$A$45:$N$71,14,FALSE)=0,"-",VLOOKUP(A104,Dat_01!$A$45:$N$71,14,FALSE)*Dat_01!$N$45)</f>
        <v>13429428.1151</v>
      </c>
      <c r="D104" s="96"/>
      <c r="E104" s="142" t="s">
        <v>63</v>
      </c>
      <c r="F104" s="96"/>
      <c r="G104" s="96">
        <f>IF(VLOOKUP(E104,Dat_01!$A$45:$N$71,2,FALSE)=0,"-",VLOOKUP(E104,Dat_01!$A$45:$N$71,2,FALSE)*Dat_01!$B$45)</f>
        <v>367888.01571999997</v>
      </c>
    </row>
    <row r="105" spans="1:7">
      <c r="A105" s="142" t="s">
        <v>65</v>
      </c>
      <c r="B105" s="96"/>
      <c r="C105" s="96">
        <f>IF(VLOOKUP(A105,Dat_01!$A$45:$N$71,14,FALSE)=0,"-",VLOOKUP(A105,Dat_01!$A$45:$N$71,14,FALSE)*Dat_01!$N$45)</f>
        <v>735859.07480000006</v>
      </c>
      <c r="D105" s="96"/>
      <c r="E105" s="142" t="s">
        <v>65</v>
      </c>
      <c r="F105" s="96"/>
      <c r="G105" s="96">
        <f>IF(VLOOKUP(E105,Dat_01!$A$45:$N$71,2,FALSE)=0,"-",VLOOKUP(E105,Dat_01!$A$45:$N$71,2,FALSE)*Dat_01!$B$45)</f>
        <v>919720.03929999995</v>
      </c>
    </row>
    <row r="106" spans="1:7">
      <c r="A106" s="142" t="s">
        <v>283</v>
      </c>
      <c r="B106" s="96"/>
      <c r="C106" s="96">
        <f>IF(VLOOKUP($A$115,Dat_01!$A$45:$N$71,14,FALSE)+VLOOKUP($A$116,Dat_01!$A$45:$N$71,14,FALSE)=0,"-",(VLOOKUP($A$115,Dat_01!$A$45:$N$71,14,FALSE)+VLOOKUP($A$116,Dat_01!$A$45:$N$71,14,FALSE))*Dat_01!$N$45)</f>
        <v>-11957709.965500001</v>
      </c>
      <c r="D106" s="96"/>
      <c r="E106" s="142" t="s">
        <v>250</v>
      </c>
      <c r="F106" s="96"/>
      <c r="G106" s="96">
        <f>IF(VLOOKUP($A$115,Dat_01!$A$45:$N$71,2,FALSE)=0,"-",VLOOKUP($A$115,Dat_01!$A$45:$N$71,2,FALSE)*Dat_01!$B$45)</f>
        <v>-11588472.49518</v>
      </c>
    </row>
    <row r="107" spans="1:7">
      <c r="A107" s="92" t="s">
        <v>23</v>
      </c>
      <c r="B107" s="141"/>
      <c r="C107" s="157">
        <f>IF(VLOOKUP(A107,Dat_01!$A$45:$N$71,14,FALSE)=0,"-",VLOOKUP(A107,Dat_01!$A$45:$N$71,14,FALSE)*Dat_01!$N$45)</f>
        <v>-2023612.4557</v>
      </c>
      <c r="D107" s="92"/>
      <c r="E107" s="92" t="s">
        <v>23</v>
      </c>
      <c r="F107" s="92"/>
      <c r="G107" s="157">
        <f>IF(VLOOKUP(E107,Dat_01!$A$45:$N$71,2,FALSE)=0,"-",VLOOKUP(E107,Dat_01!$A$45:$N$71,2,FALSE)*Dat_01!$B$45)</f>
        <v>-1287608.0550200001</v>
      </c>
    </row>
    <row r="109" spans="1:7" ht="12.6" customHeight="1">
      <c r="A109" s="225"/>
    </row>
    <row r="110" spans="1:7" ht="12.6" customHeight="1">
      <c r="A110" s="226" t="s">
        <v>261</v>
      </c>
    </row>
    <row r="111" spans="1:7" ht="12.6" customHeight="1">
      <c r="A111" s="226" t="s">
        <v>259</v>
      </c>
    </row>
    <row r="112" spans="1:7" ht="12.6" customHeight="1">
      <c r="A112" s="226" t="s">
        <v>264</v>
      </c>
    </row>
    <row r="113" spans="1:9" ht="12.6" customHeight="1">
      <c r="A113" s="226" t="s">
        <v>265</v>
      </c>
    </row>
    <row r="114" spans="1:9" ht="12.6" customHeight="1">
      <c r="A114" s="226" t="s">
        <v>266</v>
      </c>
    </row>
    <row r="115" spans="1:9" ht="12.6" customHeight="1">
      <c r="A115" s="226" t="str">
        <f>A66</f>
        <v>Servicio respuesta activa (potencia)</v>
      </c>
    </row>
    <row r="116" spans="1:9" ht="12.6" customHeight="1">
      <c r="A116" s="226" t="str">
        <f>A70</f>
        <v>Ingreso control de tensión</v>
      </c>
    </row>
    <row r="117" spans="1:9">
      <c r="A117" s="88" t="s">
        <v>225</v>
      </c>
      <c r="B117" s="171"/>
      <c r="C117" s="171"/>
    </row>
    <row r="118" spans="1:9">
      <c r="A118" s="143" t="s">
        <v>28</v>
      </c>
      <c r="B118" s="272"/>
      <c r="C118" s="261"/>
    </row>
    <row r="119" spans="1:9">
      <c r="A119" s="144" t="s">
        <v>95</v>
      </c>
      <c r="B119" s="249" t="s">
        <v>267</v>
      </c>
      <c r="C119" s="249" t="s">
        <v>327</v>
      </c>
    </row>
    <row r="120" spans="1:9">
      <c r="A120" s="143" t="s">
        <v>192</v>
      </c>
      <c r="B120" s="170"/>
      <c r="C120" s="170"/>
    </row>
    <row r="121" spans="1:9">
      <c r="A121" s="145" t="s">
        <v>77</v>
      </c>
      <c r="B121" s="213">
        <v>795.11680000000001</v>
      </c>
      <c r="C121" s="213">
        <v>1074.2741000000001</v>
      </c>
      <c r="D121" t="str">
        <f>A121</f>
        <v>Restricciones Técnicas al PBF</v>
      </c>
      <c r="F121" s="167" t="s">
        <v>209</v>
      </c>
      <c r="H121" s="173">
        <f>SUM(B121:B122)</f>
        <v>1208.1754230000001</v>
      </c>
      <c r="I121" s="173">
        <f>SUM(C121:C122)</f>
        <v>1581.112558</v>
      </c>
    </row>
    <row r="122" spans="1:9">
      <c r="A122" s="145" t="s">
        <v>78</v>
      </c>
      <c r="B122" s="213">
        <v>413.05862300000001</v>
      </c>
      <c r="C122" s="213">
        <v>506.838458</v>
      </c>
      <c r="D122" t="s">
        <v>188</v>
      </c>
      <c r="F122" s="168" t="s">
        <v>210</v>
      </c>
      <c r="H122" s="173">
        <f>SUM(B123:B126)</f>
        <v>1044.983322</v>
      </c>
      <c r="I122" s="173">
        <f>SUM(C123:C126)</f>
        <v>1141.191094</v>
      </c>
    </row>
    <row r="123" spans="1:9">
      <c r="A123" s="145" t="s">
        <v>71</v>
      </c>
      <c r="B123" s="213">
        <v>323.27601099999998</v>
      </c>
      <c r="C123" s="213">
        <v>337.61936500000002</v>
      </c>
      <c r="D123" t="str">
        <f>A123</f>
        <v>Regulación secundaria</v>
      </c>
    </row>
    <row r="124" spans="1:9">
      <c r="A124" s="145" t="s">
        <v>3</v>
      </c>
      <c r="B124" s="213">
        <v>364.77231899999998</v>
      </c>
      <c r="C124" s="213">
        <v>390.18229100000002</v>
      </c>
      <c r="D124" t="str">
        <f>A124</f>
        <v>Regulación terciaria</v>
      </c>
    </row>
    <row r="125" spans="1:9">
      <c r="A125" s="145" t="s">
        <v>204</v>
      </c>
      <c r="B125" s="147">
        <f>B318/1000</f>
        <v>275.45600000000002</v>
      </c>
      <c r="C125" s="147">
        <f>N318/1000</f>
        <v>337.86324999999999</v>
      </c>
      <c r="D125" t="s">
        <v>204</v>
      </c>
    </row>
    <row r="126" spans="1:9">
      <c r="A126" s="145" t="s">
        <v>211</v>
      </c>
      <c r="B126" s="147">
        <f>B395/1000</f>
        <v>81.478992000000005</v>
      </c>
      <c r="C126" s="147">
        <f>N395/1000</f>
        <v>75.526187999999991</v>
      </c>
      <c r="D126" t="s">
        <v>213</v>
      </c>
    </row>
    <row r="127" spans="1:9">
      <c r="B127" s="199"/>
      <c r="C127" s="199"/>
    </row>
    <row r="128" spans="1:9">
      <c r="A128" s="88"/>
    </row>
    <row r="130" spans="1:17">
      <c r="A130" s="88" t="s">
        <v>218</v>
      </c>
      <c r="C130" s="169" t="str">
        <f>MID(C132,6,1)</f>
        <v>S</v>
      </c>
      <c r="D130" s="169" t="str">
        <f t="shared" ref="D130:O130" si="4">MID(D132,6,1)</f>
        <v>O</v>
      </c>
      <c r="E130" s="169" t="str">
        <f t="shared" si="4"/>
        <v>N</v>
      </c>
      <c r="F130" s="169" t="str">
        <f t="shared" si="4"/>
        <v>D</v>
      </c>
      <c r="G130" s="169" t="str">
        <f t="shared" si="4"/>
        <v>E</v>
      </c>
      <c r="H130" s="169" t="str">
        <f t="shared" si="4"/>
        <v>F</v>
      </c>
      <c r="I130" s="169" t="str">
        <f t="shared" si="4"/>
        <v>M</v>
      </c>
      <c r="J130" s="169" t="str">
        <f t="shared" si="4"/>
        <v>A</v>
      </c>
      <c r="K130" s="169" t="str">
        <f t="shared" si="4"/>
        <v>M</v>
      </c>
      <c r="L130" s="169" t="str">
        <f t="shared" si="4"/>
        <v>J</v>
      </c>
      <c r="M130" s="169" t="str">
        <f t="shared" si="4"/>
        <v>J</v>
      </c>
      <c r="N130" s="169" t="str">
        <f t="shared" si="4"/>
        <v>A</v>
      </c>
      <c r="O130" s="169" t="str">
        <f t="shared" si="4"/>
        <v>S</v>
      </c>
      <c r="P130" s="140"/>
      <c r="Q130" s="140"/>
    </row>
    <row r="131" spans="1:17">
      <c r="A131" s="143"/>
      <c r="B131" s="143" t="s">
        <v>28</v>
      </c>
      <c r="C131" s="266" t="s">
        <v>130</v>
      </c>
      <c r="D131" s="267"/>
      <c r="E131" s="267"/>
      <c r="F131" s="267"/>
      <c r="G131" s="267"/>
      <c r="H131" s="267"/>
      <c r="I131" s="267"/>
      <c r="J131" s="267"/>
      <c r="K131" s="267"/>
      <c r="L131" s="267"/>
      <c r="M131" s="267"/>
      <c r="N131" s="267"/>
      <c r="O131" s="267"/>
      <c r="P131" s="140"/>
      <c r="Q131" s="140"/>
    </row>
    <row r="132" spans="1:17">
      <c r="A132" s="143"/>
      <c r="B132" s="144" t="s">
        <v>95</v>
      </c>
      <c r="C132" s="249" t="s">
        <v>267</v>
      </c>
      <c r="D132" s="249" t="s">
        <v>270</v>
      </c>
      <c r="E132" s="249" t="s">
        <v>273</v>
      </c>
      <c r="F132" s="249" t="s">
        <v>274</v>
      </c>
      <c r="G132" s="249" t="s">
        <v>276</v>
      </c>
      <c r="H132" s="249" t="s">
        <v>278</v>
      </c>
      <c r="I132" s="249" t="s">
        <v>281</v>
      </c>
      <c r="J132" s="249" t="s">
        <v>285</v>
      </c>
      <c r="K132" s="249" t="s">
        <v>289</v>
      </c>
      <c r="L132" s="249" t="s">
        <v>291</v>
      </c>
      <c r="M132" s="249" t="s">
        <v>293</v>
      </c>
      <c r="N132" s="249" t="s">
        <v>295</v>
      </c>
      <c r="O132" s="249" t="s">
        <v>327</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2"/>
      <c r="Q133" s="140"/>
    </row>
    <row r="134" spans="1:17">
      <c r="A134" s="262" t="s">
        <v>79</v>
      </c>
      <c r="B134" s="145" t="s">
        <v>20</v>
      </c>
      <c r="C134" s="217">
        <v>0</v>
      </c>
      <c r="D134" s="217">
        <v>0</v>
      </c>
      <c r="E134" s="217">
        <v>180</v>
      </c>
      <c r="F134" s="217">
        <v>1170</v>
      </c>
      <c r="G134" s="217">
        <v>0</v>
      </c>
      <c r="H134" s="217">
        <v>0</v>
      </c>
      <c r="I134" s="217">
        <v>0</v>
      </c>
      <c r="J134" s="217">
        <v>0</v>
      </c>
      <c r="K134" s="217">
        <v>0</v>
      </c>
      <c r="L134" s="217">
        <v>0</v>
      </c>
      <c r="M134" s="217">
        <v>0</v>
      </c>
      <c r="N134" s="217">
        <v>0</v>
      </c>
      <c r="O134" s="217">
        <v>0</v>
      </c>
      <c r="P134" s="232"/>
      <c r="Q134" s="233"/>
    </row>
    <row r="135" spans="1:17">
      <c r="A135" s="263"/>
      <c r="B135" s="145" t="s">
        <v>84</v>
      </c>
      <c r="C135" s="217">
        <v>0</v>
      </c>
      <c r="D135" s="217">
        <v>0</v>
      </c>
      <c r="E135" s="217">
        <v>0</v>
      </c>
      <c r="F135" s="217">
        <v>0</v>
      </c>
      <c r="G135" s="217">
        <v>0</v>
      </c>
      <c r="H135" s="217">
        <v>0</v>
      </c>
      <c r="I135" s="217">
        <v>0</v>
      </c>
      <c r="J135" s="217">
        <v>100</v>
      </c>
      <c r="K135" s="217">
        <v>4370</v>
      </c>
      <c r="L135" s="217">
        <v>0.6</v>
      </c>
      <c r="M135" s="217">
        <v>0</v>
      </c>
      <c r="N135" s="217">
        <v>0</v>
      </c>
      <c r="O135" s="217">
        <v>0</v>
      </c>
      <c r="P135" s="232"/>
      <c r="Q135" s="233"/>
    </row>
    <row r="136" spans="1:17">
      <c r="A136" s="263"/>
      <c r="B136" s="145" t="s">
        <v>80</v>
      </c>
      <c r="C136" s="217">
        <v>0</v>
      </c>
      <c r="D136" s="217">
        <v>0</v>
      </c>
      <c r="E136" s="217">
        <v>0</v>
      </c>
      <c r="F136" s="217">
        <v>0</v>
      </c>
      <c r="G136" s="217">
        <v>0</v>
      </c>
      <c r="H136" s="217">
        <v>14553.4</v>
      </c>
      <c r="I136" s="217">
        <v>691036.7</v>
      </c>
      <c r="J136" s="217">
        <v>1102040.5</v>
      </c>
      <c r="K136" s="217">
        <v>697817.8</v>
      </c>
      <c r="L136" s="217">
        <v>435935.9</v>
      </c>
      <c r="M136" s="217">
        <v>60001.7</v>
      </c>
      <c r="N136" s="217">
        <v>0</v>
      </c>
      <c r="O136" s="217">
        <v>0</v>
      </c>
      <c r="P136" s="232"/>
      <c r="Q136" s="233"/>
    </row>
    <row r="137" spans="1:17">
      <c r="A137" s="263"/>
      <c r="B137" s="145" t="s">
        <v>81</v>
      </c>
      <c r="C137" s="217">
        <v>180894</v>
      </c>
      <c r="D137" s="217">
        <v>179348.9</v>
      </c>
      <c r="E137" s="217">
        <v>158625</v>
      </c>
      <c r="F137" s="217">
        <v>156652.5</v>
      </c>
      <c r="G137" s="217">
        <v>152061</v>
      </c>
      <c r="H137" s="217">
        <v>179084</v>
      </c>
      <c r="I137" s="217">
        <v>164083</v>
      </c>
      <c r="J137" s="217">
        <v>190630.2</v>
      </c>
      <c r="K137" s="217">
        <v>178457</v>
      </c>
      <c r="L137" s="217">
        <v>118330</v>
      </c>
      <c r="M137" s="217">
        <v>157282</v>
      </c>
      <c r="N137" s="217">
        <v>161811</v>
      </c>
      <c r="O137" s="217">
        <v>252325.6</v>
      </c>
      <c r="P137" s="232"/>
      <c r="Q137" s="233"/>
    </row>
    <row r="138" spans="1:17">
      <c r="A138" s="263"/>
      <c r="B138" s="145" t="s">
        <v>92</v>
      </c>
      <c r="C138" s="217">
        <v>0</v>
      </c>
      <c r="D138" s="217">
        <v>0</v>
      </c>
      <c r="E138" s="217">
        <v>0</v>
      </c>
      <c r="F138" s="217">
        <v>0</v>
      </c>
      <c r="G138" s="217">
        <v>0</v>
      </c>
      <c r="H138" s="217">
        <v>0</v>
      </c>
      <c r="I138" s="217">
        <v>0</v>
      </c>
      <c r="J138" s="217">
        <v>0</v>
      </c>
      <c r="K138" s="217">
        <v>0</v>
      </c>
      <c r="L138" s="217">
        <v>0</v>
      </c>
      <c r="M138" s="217">
        <v>0</v>
      </c>
      <c r="N138" s="217">
        <v>0</v>
      </c>
      <c r="O138" s="217">
        <v>0</v>
      </c>
      <c r="P138" s="232"/>
      <c r="Q138" s="233"/>
    </row>
    <row r="139" spans="1:17">
      <c r="A139" s="263"/>
      <c r="B139" s="145" t="s">
        <v>24</v>
      </c>
      <c r="C139" s="217">
        <v>537393.30000000005</v>
      </c>
      <c r="D139" s="217">
        <v>699577</v>
      </c>
      <c r="E139" s="217">
        <v>806211.9</v>
      </c>
      <c r="F139" s="217">
        <v>714991.3</v>
      </c>
      <c r="G139" s="217">
        <v>529633</v>
      </c>
      <c r="H139" s="217">
        <v>584373.5</v>
      </c>
      <c r="I139" s="217">
        <v>712135.3</v>
      </c>
      <c r="J139" s="217">
        <v>680753.3</v>
      </c>
      <c r="K139" s="217">
        <v>870770.7</v>
      </c>
      <c r="L139" s="217">
        <v>665201</v>
      </c>
      <c r="M139" s="217">
        <v>684982.3</v>
      </c>
      <c r="N139" s="217">
        <v>699616.5</v>
      </c>
      <c r="O139" s="217">
        <v>690114.2</v>
      </c>
      <c r="P139" s="232"/>
      <c r="Q139" s="233"/>
    </row>
    <row r="140" spans="1:17">
      <c r="A140" s="263"/>
      <c r="B140" s="145" t="s">
        <v>85</v>
      </c>
      <c r="C140" s="217">
        <v>0</v>
      </c>
      <c r="D140" s="217">
        <v>0</v>
      </c>
      <c r="E140" s="217">
        <v>0</v>
      </c>
      <c r="F140" s="217">
        <v>0</v>
      </c>
      <c r="G140" s="217">
        <v>0</v>
      </c>
      <c r="H140" s="217">
        <v>0</v>
      </c>
      <c r="I140" s="217">
        <v>0</v>
      </c>
      <c r="J140" s="217">
        <v>0</v>
      </c>
      <c r="K140" s="217">
        <v>0</v>
      </c>
      <c r="L140" s="217">
        <v>0</v>
      </c>
      <c r="M140" s="217">
        <v>0</v>
      </c>
      <c r="N140" s="217">
        <v>0</v>
      </c>
      <c r="O140" s="217">
        <v>0</v>
      </c>
      <c r="P140" s="232"/>
      <c r="Q140" s="233"/>
    </row>
    <row r="141" spans="1:17">
      <c r="A141" s="263"/>
      <c r="B141" s="145" t="s">
        <v>86</v>
      </c>
      <c r="C141" s="217">
        <v>0</v>
      </c>
      <c r="D141" s="217">
        <v>0</v>
      </c>
      <c r="E141" s="217">
        <v>0</v>
      </c>
      <c r="F141" s="217">
        <v>0</v>
      </c>
      <c r="G141" s="217">
        <v>0</v>
      </c>
      <c r="H141" s="217">
        <v>0</v>
      </c>
      <c r="I141" s="217">
        <v>0</v>
      </c>
      <c r="J141" s="217">
        <v>0</v>
      </c>
      <c r="K141" s="217">
        <v>0</v>
      </c>
      <c r="L141" s="217">
        <v>0</v>
      </c>
      <c r="M141" s="217">
        <v>0</v>
      </c>
      <c r="N141" s="217">
        <v>0</v>
      </c>
      <c r="O141" s="217">
        <v>0</v>
      </c>
      <c r="P141" s="232"/>
      <c r="Q141" s="233"/>
    </row>
    <row r="142" spans="1:17">
      <c r="A142" s="263"/>
      <c r="B142" s="145" t="s">
        <v>87</v>
      </c>
      <c r="C142" s="217">
        <v>0</v>
      </c>
      <c r="D142" s="217">
        <v>0</v>
      </c>
      <c r="E142" s="217">
        <v>0</v>
      </c>
      <c r="F142" s="217">
        <v>0</v>
      </c>
      <c r="G142" s="217">
        <v>0</v>
      </c>
      <c r="H142" s="217">
        <v>0</v>
      </c>
      <c r="I142" s="217">
        <v>0</v>
      </c>
      <c r="J142" s="217">
        <v>0</v>
      </c>
      <c r="K142" s="217">
        <v>0</v>
      </c>
      <c r="L142" s="217">
        <v>0</v>
      </c>
      <c r="M142" s="217">
        <v>0</v>
      </c>
      <c r="N142" s="217">
        <v>0</v>
      </c>
      <c r="O142" s="217">
        <v>0</v>
      </c>
      <c r="P142" s="232"/>
      <c r="Q142" s="233"/>
    </row>
    <row r="143" spans="1:17">
      <c r="A143" s="263"/>
      <c r="B143" s="145" t="s">
        <v>88</v>
      </c>
      <c r="C143" s="217">
        <v>0</v>
      </c>
      <c r="D143" s="217">
        <v>400</v>
      </c>
      <c r="E143" s="217">
        <v>1123.9000000000001</v>
      </c>
      <c r="F143" s="217">
        <v>0</v>
      </c>
      <c r="G143" s="217">
        <v>0</v>
      </c>
      <c r="H143" s="217">
        <v>0</v>
      </c>
      <c r="I143" s="217">
        <v>0</v>
      </c>
      <c r="J143" s="217">
        <v>53.3</v>
      </c>
      <c r="K143" s="217">
        <v>0.2</v>
      </c>
      <c r="L143" s="217">
        <v>0</v>
      </c>
      <c r="M143" s="217">
        <v>0</v>
      </c>
      <c r="N143" s="217">
        <v>0</v>
      </c>
      <c r="O143" s="217">
        <v>0</v>
      </c>
      <c r="P143" s="232"/>
      <c r="Q143" s="233"/>
    </row>
    <row r="144" spans="1:17">
      <c r="A144" s="263"/>
      <c r="B144" s="145" t="s">
        <v>89</v>
      </c>
      <c r="C144" s="217">
        <v>0</v>
      </c>
      <c r="D144" s="217">
        <v>1381</v>
      </c>
      <c r="E144" s="217">
        <v>12732</v>
      </c>
      <c r="F144" s="217">
        <v>0</v>
      </c>
      <c r="G144" s="217">
        <v>0</v>
      </c>
      <c r="H144" s="217">
        <v>0</v>
      </c>
      <c r="I144" s="217">
        <v>0</v>
      </c>
      <c r="J144" s="217">
        <v>676.6</v>
      </c>
      <c r="K144" s="217">
        <v>0</v>
      </c>
      <c r="L144" s="217">
        <v>0</v>
      </c>
      <c r="M144" s="217">
        <v>0</v>
      </c>
      <c r="N144" s="217">
        <v>0</v>
      </c>
      <c r="O144" s="217">
        <v>0</v>
      </c>
      <c r="P144" s="232"/>
      <c r="Q144" s="233"/>
    </row>
    <row r="145" spans="1:17">
      <c r="A145" s="263"/>
      <c r="B145" s="145" t="s">
        <v>94</v>
      </c>
      <c r="C145" s="217">
        <v>0</v>
      </c>
      <c r="D145" s="217">
        <v>0</v>
      </c>
      <c r="E145" s="217">
        <v>0</v>
      </c>
      <c r="F145" s="217">
        <v>0</v>
      </c>
      <c r="G145" s="217">
        <v>0</v>
      </c>
      <c r="H145" s="217">
        <v>0</v>
      </c>
      <c r="I145" s="217">
        <v>0</v>
      </c>
      <c r="J145" s="217">
        <v>0</v>
      </c>
      <c r="K145" s="217">
        <v>0</v>
      </c>
      <c r="L145" s="217">
        <v>0</v>
      </c>
      <c r="M145" s="217">
        <v>0</v>
      </c>
      <c r="N145" s="217">
        <v>0</v>
      </c>
      <c r="O145" s="217">
        <v>0</v>
      </c>
      <c r="P145" s="232"/>
      <c r="Q145" s="233"/>
    </row>
    <row r="146" spans="1:17">
      <c r="A146" s="263"/>
      <c r="B146" s="145" t="s">
        <v>82</v>
      </c>
      <c r="C146" s="217">
        <v>4681.3</v>
      </c>
      <c r="D146" s="217">
        <v>17036.599999999999</v>
      </c>
      <c r="E146" s="217">
        <v>16397.2</v>
      </c>
      <c r="F146" s="217">
        <v>0</v>
      </c>
      <c r="G146" s="217">
        <v>0</v>
      </c>
      <c r="H146" s="217">
        <v>12294.2</v>
      </c>
      <c r="I146" s="217">
        <v>879.8</v>
      </c>
      <c r="J146" s="217">
        <v>7545</v>
      </c>
      <c r="K146" s="217">
        <v>0</v>
      </c>
      <c r="L146" s="217">
        <v>0</v>
      </c>
      <c r="M146" s="217">
        <v>6619.1</v>
      </c>
      <c r="N146" s="217">
        <v>0</v>
      </c>
      <c r="O146" s="217">
        <v>184</v>
      </c>
      <c r="P146" s="232"/>
      <c r="Q146" s="233"/>
    </row>
    <row r="147" spans="1:17">
      <c r="A147" s="263"/>
      <c r="B147" s="145" t="s">
        <v>90</v>
      </c>
      <c r="C147" s="217">
        <v>0</v>
      </c>
      <c r="D147" s="217">
        <v>0</v>
      </c>
      <c r="E147" s="217">
        <v>0</v>
      </c>
      <c r="F147" s="217">
        <v>0</v>
      </c>
      <c r="G147" s="217">
        <v>0</v>
      </c>
      <c r="H147" s="217">
        <v>0</v>
      </c>
      <c r="I147" s="217">
        <v>0</v>
      </c>
      <c r="J147" s="217">
        <v>0</v>
      </c>
      <c r="K147" s="217">
        <v>0</v>
      </c>
      <c r="L147" s="217">
        <v>0</v>
      </c>
      <c r="M147" s="217">
        <v>0</v>
      </c>
      <c r="N147" s="217">
        <v>0</v>
      </c>
      <c r="O147" s="217">
        <v>0</v>
      </c>
      <c r="P147" s="232"/>
      <c r="Q147" s="233"/>
    </row>
    <row r="148" spans="1:17">
      <c r="A148" s="263"/>
      <c r="B148" s="145" t="s">
        <v>91</v>
      </c>
      <c r="C148" s="217">
        <v>0</v>
      </c>
      <c r="D148" s="217">
        <v>0</v>
      </c>
      <c r="E148" s="217">
        <v>0</v>
      </c>
      <c r="F148" s="217">
        <v>0</v>
      </c>
      <c r="G148" s="217">
        <v>0</v>
      </c>
      <c r="H148" s="217">
        <v>0</v>
      </c>
      <c r="I148" s="217">
        <v>0</v>
      </c>
      <c r="J148" s="217">
        <v>0</v>
      </c>
      <c r="K148" s="217">
        <v>0</v>
      </c>
      <c r="L148" s="217">
        <v>0</v>
      </c>
      <c r="M148" s="217">
        <v>0</v>
      </c>
      <c r="N148" s="217">
        <v>0</v>
      </c>
      <c r="O148" s="217">
        <v>0</v>
      </c>
      <c r="P148" s="232"/>
      <c r="Q148" s="233"/>
    </row>
    <row r="149" spans="1:17">
      <c r="A149" s="263"/>
      <c r="B149" s="145" t="s">
        <v>93</v>
      </c>
      <c r="C149" s="217">
        <v>0</v>
      </c>
      <c r="D149" s="217">
        <v>0</v>
      </c>
      <c r="E149" s="217">
        <v>0</v>
      </c>
      <c r="F149" s="217">
        <v>0</v>
      </c>
      <c r="G149" s="217">
        <v>0</v>
      </c>
      <c r="H149" s="217">
        <v>0</v>
      </c>
      <c r="I149" s="217">
        <v>0</v>
      </c>
      <c r="J149" s="217">
        <v>0</v>
      </c>
      <c r="K149" s="217">
        <v>0</v>
      </c>
      <c r="L149" s="217">
        <v>0</v>
      </c>
      <c r="M149" s="217">
        <v>0</v>
      </c>
      <c r="N149" s="217">
        <v>0</v>
      </c>
      <c r="O149" s="217">
        <v>0</v>
      </c>
      <c r="P149" s="232"/>
      <c r="Q149" s="233"/>
    </row>
    <row r="150" spans="1:17">
      <c r="A150" s="263"/>
      <c r="B150" s="145" t="s">
        <v>226</v>
      </c>
      <c r="C150" s="217">
        <v>0</v>
      </c>
      <c r="D150" s="217">
        <v>0</v>
      </c>
      <c r="E150" s="217">
        <v>0</v>
      </c>
      <c r="F150" s="217">
        <v>0</v>
      </c>
      <c r="G150" s="217">
        <v>0</v>
      </c>
      <c r="H150" s="217">
        <v>0</v>
      </c>
      <c r="I150" s="217">
        <v>0</v>
      </c>
      <c r="J150" s="217">
        <v>0</v>
      </c>
      <c r="K150" s="217">
        <v>0</v>
      </c>
      <c r="L150" s="217">
        <v>0</v>
      </c>
      <c r="M150" s="217">
        <v>0</v>
      </c>
      <c r="N150" s="217">
        <v>0</v>
      </c>
      <c r="O150" s="217">
        <v>0</v>
      </c>
      <c r="P150" s="232"/>
      <c r="Q150" s="233"/>
    </row>
    <row r="151" spans="1:17">
      <c r="A151" s="263"/>
      <c r="B151" s="145" t="s">
        <v>287</v>
      </c>
      <c r="C151" s="217">
        <v>0</v>
      </c>
      <c r="D151" s="217">
        <v>0</v>
      </c>
      <c r="E151" s="217">
        <v>0</v>
      </c>
      <c r="F151" s="217">
        <v>0</v>
      </c>
      <c r="G151" s="217">
        <v>0</v>
      </c>
      <c r="H151" s="217">
        <v>0</v>
      </c>
      <c r="I151" s="217">
        <v>0</v>
      </c>
      <c r="J151" s="217">
        <v>0</v>
      </c>
      <c r="K151" s="217">
        <v>0</v>
      </c>
      <c r="L151" s="217">
        <v>0</v>
      </c>
      <c r="M151" s="217">
        <v>0</v>
      </c>
      <c r="N151" s="217">
        <v>0</v>
      </c>
      <c r="O151" s="217">
        <v>0</v>
      </c>
      <c r="P151" s="232"/>
      <c r="Q151" s="233"/>
    </row>
    <row r="152" spans="1:17">
      <c r="A152" s="264"/>
      <c r="B152" s="215" t="s">
        <v>0</v>
      </c>
      <c r="C152" s="218">
        <v>722968.6</v>
      </c>
      <c r="D152" s="218">
        <v>897743.5</v>
      </c>
      <c r="E152" s="218">
        <v>995270</v>
      </c>
      <c r="F152" s="218">
        <v>872813.8</v>
      </c>
      <c r="G152" s="218">
        <v>681694</v>
      </c>
      <c r="H152" s="218">
        <v>790305.1</v>
      </c>
      <c r="I152" s="218">
        <v>1568134.8</v>
      </c>
      <c r="J152" s="218">
        <v>1981798.9</v>
      </c>
      <c r="K152" s="218">
        <v>1751415.7</v>
      </c>
      <c r="L152" s="218">
        <v>1219467.5</v>
      </c>
      <c r="M152" s="218">
        <v>908885.1</v>
      </c>
      <c r="N152" s="218">
        <v>861427.5</v>
      </c>
      <c r="O152" s="218">
        <v>942623.8</v>
      </c>
      <c r="P152" s="184">
        <f>O152/C152-1</f>
        <v>0.30382398350357143</v>
      </c>
      <c r="Q152" s="183"/>
    </row>
    <row r="153" spans="1:17">
      <c r="A153" s="265" t="s">
        <v>83</v>
      </c>
      <c r="B153" s="145" t="s">
        <v>20</v>
      </c>
      <c r="C153" s="217">
        <v>842.9</v>
      </c>
      <c r="D153" s="217">
        <v>1248.7</v>
      </c>
      <c r="E153" s="217">
        <v>4248.1000000000004</v>
      </c>
      <c r="F153" s="217">
        <v>4224.8999999999996</v>
      </c>
      <c r="G153" s="217">
        <v>2604.4</v>
      </c>
      <c r="H153" s="217">
        <v>1656.1</v>
      </c>
      <c r="I153" s="217">
        <v>1728.9</v>
      </c>
      <c r="J153" s="217">
        <v>4491.3999999999996</v>
      </c>
      <c r="K153" s="217">
        <v>4948.3999999999996</v>
      </c>
      <c r="L153" s="217">
        <v>4108.3</v>
      </c>
      <c r="M153" s="217">
        <v>3881.8</v>
      </c>
      <c r="N153" s="217">
        <v>2395.8000000000002</v>
      </c>
      <c r="O153" s="217">
        <v>2369.3000000000002</v>
      </c>
      <c r="P153" s="232"/>
      <c r="Q153" s="184"/>
    </row>
    <row r="154" spans="1:17">
      <c r="A154" s="263"/>
      <c r="B154" s="145" t="s">
        <v>84</v>
      </c>
      <c r="C154" s="217">
        <v>800</v>
      </c>
      <c r="D154" s="217">
        <v>1200</v>
      </c>
      <c r="E154" s="217">
        <v>1419.5</v>
      </c>
      <c r="F154" s="217">
        <v>0</v>
      </c>
      <c r="G154" s="217">
        <v>0</v>
      </c>
      <c r="H154" s="217">
        <v>0</v>
      </c>
      <c r="I154" s="217">
        <v>0</v>
      </c>
      <c r="J154" s="217">
        <v>10002.299999999999</v>
      </c>
      <c r="K154" s="217">
        <v>128</v>
      </c>
      <c r="L154" s="217">
        <v>0</v>
      </c>
      <c r="M154" s="217">
        <v>0</v>
      </c>
      <c r="N154" s="217">
        <v>0</v>
      </c>
      <c r="O154" s="217">
        <v>464</v>
      </c>
      <c r="P154" s="232"/>
      <c r="Q154" s="184"/>
    </row>
    <row r="155" spans="1:17">
      <c r="A155" s="263"/>
      <c r="B155" s="145" t="s">
        <v>80</v>
      </c>
      <c r="C155" s="217">
        <v>0</v>
      </c>
      <c r="D155" s="217">
        <v>47700</v>
      </c>
      <c r="E155" s="217">
        <v>0</v>
      </c>
      <c r="F155" s="217">
        <v>0</v>
      </c>
      <c r="G155" s="217">
        <v>0</v>
      </c>
      <c r="H155" s="217">
        <v>0</v>
      </c>
      <c r="I155" s="217">
        <v>0</v>
      </c>
      <c r="J155" s="217">
        <v>0</v>
      </c>
      <c r="K155" s="217">
        <v>0</v>
      </c>
      <c r="L155" s="217">
        <v>0</v>
      </c>
      <c r="M155" s="217">
        <v>0</v>
      </c>
      <c r="N155" s="217">
        <v>0</v>
      </c>
      <c r="O155" s="217">
        <v>0</v>
      </c>
      <c r="P155" s="232"/>
      <c r="Q155" s="184"/>
    </row>
    <row r="156" spans="1:17">
      <c r="A156" s="263"/>
      <c r="B156" s="145" t="s">
        <v>81</v>
      </c>
      <c r="C156" s="217">
        <v>0</v>
      </c>
      <c r="D156" s="217">
        <v>0</v>
      </c>
      <c r="E156" s="217">
        <v>0</v>
      </c>
      <c r="F156" s="217">
        <v>0</v>
      </c>
      <c r="G156" s="217">
        <v>0</v>
      </c>
      <c r="H156" s="217">
        <v>0</v>
      </c>
      <c r="I156" s="217">
        <v>0</v>
      </c>
      <c r="J156" s="217">
        <v>0</v>
      </c>
      <c r="K156" s="217">
        <v>0</v>
      </c>
      <c r="L156" s="217">
        <v>0</v>
      </c>
      <c r="M156" s="217">
        <v>0</v>
      </c>
      <c r="N156" s="217">
        <v>0</v>
      </c>
      <c r="O156" s="217">
        <v>0</v>
      </c>
      <c r="P156" s="232"/>
      <c r="Q156" s="184"/>
    </row>
    <row r="157" spans="1:17">
      <c r="A157" s="263"/>
      <c r="B157" s="145" t="s">
        <v>92</v>
      </c>
      <c r="C157" s="217">
        <v>0</v>
      </c>
      <c r="D157" s="217">
        <v>0</v>
      </c>
      <c r="E157" s="217">
        <v>0</v>
      </c>
      <c r="F157" s="217">
        <v>0</v>
      </c>
      <c r="G157" s="217">
        <v>0</v>
      </c>
      <c r="H157" s="217">
        <v>0</v>
      </c>
      <c r="I157" s="217">
        <v>0</v>
      </c>
      <c r="J157" s="217">
        <v>0</v>
      </c>
      <c r="K157" s="217">
        <v>0</v>
      </c>
      <c r="L157" s="217">
        <v>0</v>
      </c>
      <c r="M157" s="217">
        <v>0</v>
      </c>
      <c r="N157" s="217">
        <v>0</v>
      </c>
      <c r="O157" s="217">
        <v>0</v>
      </c>
      <c r="P157" s="232"/>
      <c r="Q157" s="184"/>
    </row>
    <row r="158" spans="1:17">
      <c r="A158" s="263"/>
      <c r="B158" s="145" t="s">
        <v>24</v>
      </c>
      <c r="C158" s="217">
        <v>1223.5</v>
      </c>
      <c r="D158" s="217">
        <v>0</v>
      </c>
      <c r="E158" s="217">
        <v>0</v>
      </c>
      <c r="F158" s="217">
        <v>0</v>
      </c>
      <c r="G158" s="217">
        <v>0</v>
      </c>
      <c r="H158" s="217">
        <v>0</v>
      </c>
      <c r="I158" s="217">
        <v>0</v>
      </c>
      <c r="J158" s="217">
        <v>0</v>
      </c>
      <c r="K158" s="217">
        <v>0</v>
      </c>
      <c r="L158" s="217">
        <v>0</v>
      </c>
      <c r="M158" s="217">
        <v>212.3</v>
      </c>
      <c r="N158" s="217">
        <v>168.2</v>
      </c>
      <c r="O158" s="217">
        <v>1706.2</v>
      </c>
      <c r="P158" s="232"/>
      <c r="Q158" s="184"/>
    </row>
    <row r="159" spans="1:17">
      <c r="A159" s="263"/>
      <c r="B159" s="145" t="s">
        <v>85</v>
      </c>
      <c r="C159" s="217">
        <v>20394.400000000001</v>
      </c>
      <c r="D159" s="217">
        <v>37380.1</v>
      </c>
      <c r="E159" s="217">
        <v>38286.400000000001</v>
      </c>
      <c r="F159" s="217">
        <v>85492.6</v>
      </c>
      <c r="G159" s="217">
        <v>27832.9</v>
      </c>
      <c r="H159" s="217">
        <v>46445.599999999999</v>
      </c>
      <c r="I159" s="217">
        <v>67319.100000000006</v>
      </c>
      <c r="J159" s="217">
        <v>66634.7</v>
      </c>
      <c r="K159" s="217">
        <v>56267.3</v>
      </c>
      <c r="L159" s="217">
        <v>51644.4</v>
      </c>
      <c r="M159" s="217">
        <v>121172.4</v>
      </c>
      <c r="N159" s="217">
        <v>45324.7</v>
      </c>
      <c r="O159" s="217">
        <v>86223.9</v>
      </c>
      <c r="P159" s="232"/>
      <c r="Q159" s="184"/>
    </row>
    <row r="160" spans="1:17">
      <c r="A160" s="263"/>
      <c r="B160" s="145" t="s">
        <v>86</v>
      </c>
      <c r="C160" s="217">
        <v>32658.5</v>
      </c>
      <c r="D160" s="217">
        <v>20420.3</v>
      </c>
      <c r="E160" s="217">
        <v>7180.3</v>
      </c>
      <c r="F160" s="217">
        <v>1195.9000000000001</v>
      </c>
      <c r="G160" s="217">
        <v>744.1</v>
      </c>
      <c r="H160" s="217">
        <v>2304.9</v>
      </c>
      <c r="I160" s="217">
        <v>3767.6</v>
      </c>
      <c r="J160" s="217">
        <v>35531.300000000003</v>
      </c>
      <c r="K160" s="217">
        <v>48396.6</v>
      </c>
      <c r="L160" s="217">
        <v>30094.799999999999</v>
      </c>
      <c r="M160" s="217">
        <v>57890.400000000001</v>
      </c>
      <c r="N160" s="217">
        <v>34473.199999999997</v>
      </c>
      <c r="O160" s="217">
        <v>19002.7</v>
      </c>
      <c r="P160" s="232"/>
      <c r="Q160" s="184"/>
    </row>
    <row r="161" spans="1:20">
      <c r="A161" s="263"/>
      <c r="B161" s="145" t="s">
        <v>87</v>
      </c>
      <c r="C161" s="217">
        <v>8109.1</v>
      </c>
      <c r="D161" s="217">
        <v>6894.4</v>
      </c>
      <c r="E161" s="217">
        <v>3217.4</v>
      </c>
      <c r="F161" s="217">
        <v>1363.4</v>
      </c>
      <c r="G161" s="217">
        <v>3.7</v>
      </c>
      <c r="H161" s="217">
        <v>236.9</v>
      </c>
      <c r="I161" s="217">
        <v>161.80000000000001</v>
      </c>
      <c r="J161" s="217">
        <v>6002.7</v>
      </c>
      <c r="K161" s="217">
        <v>29937.8</v>
      </c>
      <c r="L161" s="217">
        <v>30825.7</v>
      </c>
      <c r="M161" s="217">
        <v>133882.4</v>
      </c>
      <c r="N161" s="217">
        <v>45551.6</v>
      </c>
      <c r="O161" s="217">
        <v>4378</v>
      </c>
      <c r="P161" s="232"/>
      <c r="Q161" s="184"/>
    </row>
    <row r="162" spans="1:20">
      <c r="A162" s="263"/>
      <c r="B162" s="145" t="s">
        <v>88</v>
      </c>
      <c r="C162" s="217">
        <v>6632.4</v>
      </c>
      <c r="D162" s="217">
        <v>5876.6</v>
      </c>
      <c r="E162" s="217">
        <v>3323.3</v>
      </c>
      <c r="F162" s="217">
        <v>8632.2999999999993</v>
      </c>
      <c r="G162" s="217">
        <v>3514.4</v>
      </c>
      <c r="H162" s="217">
        <v>3974.4</v>
      </c>
      <c r="I162" s="217">
        <v>2439.1999999999998</v>
      </c>
      <c r="J162" s="217">
        <v>6590.7</v>
      </c>
      <c r="K162" s="217">
        <v>17285.900000000001</v>
      </c>
      <c r="L162" s="217">
        <v>8829.7999999999993</v>
      </c>
      <c r="M162" s="217">
        <v>15027.8</v>
      </c>
      <c r="N162" s="217">
        <v>5587.1</v>
      </c>
      <c r="O162" s="217">
        <v>13252.9</v>
      </c>
      <c r="P162" s="232"/>
      <c r="Q162" s="184"/>
    </row>
    <row r="163" spans="1:20">
      <c r="A163" s="263"/>
      <c r="B163" s="145" t="s">
        <v>89</v>
      </c>
      <c r="C163" s="217">
        <v>1487.4</v>
      </c>
      <c r="D163" s="217">
        <v>505.5</v>
      </c>
      <c r="E163" s="217">
        <v>635</v>
      </c>
      <c r="F163" s="217">
        <v>2224</v>
      </c>
      <c r="G163" s="217">
        <v>54.8</v>
      </c>
      <c r="H163" s="217">
        <v>96.4</v>
      </c>
      <c r="I163" s="217">
        <v>0</v>
      </c>
      <c r="J163" s="217">
        <v>4999.6000000000004</v>
      </c>
      <c r="K163" s="217">
        <v>2274.3000000000002</v>
      </c>
      <c r="L163" s="217">
        <v>1971.9</v>
      </c>
      <c r="M163" s="217">
        <v>9240.7999999999993</v>
      </c>
      <c r="N163" s="217">
        <v>2766.6</v>
      </c>
      <c r="O163" s="217">
        <v>4253.3</v>
      </c>
      <c r="P163" s="232"/>
      <c r="Q163" s="184"/>
      <c r="R163" s="191"/>
      <c r="S163" s="191"/>
      <c r="T163" s="191"/>
    </row>
    <row r="164" spans="1:20">
      <c r="A164" s="263"/>
      <c r="B164" s="145" t="s">
        <v>94</v>
      </c>
      <c r="C164" s="217">
        <v>0</v>
      </c>
      <c r="D164" s="217">
        <v>224</v>
      </c>
      <c r="E164" s="217">
        <v>0</v>
      </c>
      <c r="F164" s="217">
        <v>0</v>
      </c>
      <c r="G164" s="217">
        <v>0</v>
      </c>
      <c r="H164" s="217">
        <v>0</v>
      </c>
      <c r="I164" s="217">
        <v>0</v>
      </c>
      <c r="J164" s="217">
        <v>60.4</v>
      </c>
      <c r="K164" s="217">
        <v>344</v>
      </c>
      <c r="L164" s="217">
        <v>0</v>
      </c>
      <c r="M164" s="217">
        <v>150</v>
      </c>
      <c r="N164" s="217">
        <v>100</v>
      </c>
      <c r="O164" s="217">
        <v>0</v>
      </c>
      <c r="P164" s="232"/>
      <c r="Q164" s="184"/>
      <c r="R164" s="191"/>
      <c r="S164" s="191"/>
      <c r="T164" s="191"/>
    </row>
    <row r="165" spans="1:20">
      <c r="A165" s="263"/>
      <c r="B165" s="145" t="s">
        <v>82</v>
      </c>
      <c r="C165" s="217">
        <v>0</v>
      </c>
      <c r="D165" s="217">
        <v>0</v>
      </c>
      <c r="E165" s="217">
        <v>0</v>
      </c>
      <c r="F165" s="217">
        <v>0</v>
      </c>
      <c r="G165" s="217">
        <v>0</v>
      </c>
      <c r="H165" s="217">
        <v>0</v>
      </c>
      <c r="I165" s="217">
        <v>0</v>
      </c>
      <c r="J165" s="217">
        <v>0</v>
      </c>
      <c r="K165" s="217">
        <v>0</v>
      </c>
      <c r="L165" s="217">
        <v>0</v>
      </c>
      <c r="M165" s="217">
        <v>0</v>
      </c>
      <c r="N165" s="217">
        <v>0</v>
      </c>
      <c r="O165" s="217">
        <v>0</v>
      </c>
      <c r="P165" s="232"/>
      <c r="Q165" s="184"/>
      <c r="R165" s="191"/>
      <c r="S165" s="191"/>
      <c r="T165" s="191"/>
    </row>
    <row r="166" spans="1:20">
      <c r="A166" s="263"/>
      <c r="B166" s="145" t="s">
        <v>90</v>
      </c>
      <c r="C166" s="217">
        <v>0</v>
      </c>
      <c r="D166" s="217">
        <v>0</v>
      </c>
      <c r="E166" s="217">
        <v>0</v>
      </c>
      <c r="F166" s="217">
        <v>0</v>
      </c>
      <c r="G166" s="217">
        <v>0</v>
      </c>
      <c r="H166" s="217">
        <v>0</v>
      </c>
      <c r="I166" s="217">
        <v>0</v>
      </c>
      <c r="J166" s="217">
        <v>0</v>
      </c>
      <c r="K166" s="217">
        <v>0</v>
      </c>
      <c r="L166" s="217">
        <v>0</v>
      </c>
      <c r="M166" s="217">
        <v>0</v>
      </c>
      <c r="N166" s="217">
        <v>0</v>
      </c>
      <c r="O166" s="217">
        <v>0</v>
      </c>
      <c r="P166" s="232"/>
      <c r="Q166" s="184"/>
      <c r="R166" s="191"/>
      <c r="S166" s="191"/>
      <c r="T166" s="191"/>
    </row>
    <row r="167" spans="1:20">
      <c r="A167" s="263"/>
      <c r="B167" s="145" t="s">
        <v>91</v>
      </c>
      <c r="C167" s="217">
        <v>0</v>
      </c>
      <c r="D167" s="217">
        <v>0</v>
      </c>
      <c r="E167" s="217">
        <v>0</v>
      </c>
      <c r="F167" s="217">
        <v>0</v>
      </c>
      <c r="G167" s="217">
        <v>0</v>
      </c>
      <c r="H167" s="217">
        <v>0</v>
      </c>
      <c r="I167" s="217">
        <v>0</v>
      </c>
      <c r="J167" s="217">
        <v>0</v>
      </c>
      <c r="K167" s="217">
        <v>0</v>
      </c>
      <c r="L167" s="217">
        <v>0</v>
      </c>
      <c r="M167" s="217">
        <v>0</v>
      </c>
      <c r="N167" s="217">
        <v>0</v>
      </c>
      <c r="O167" s="217">
        <v>0</v>
      </c>
      <c r="P167" s="232"/>
      <c r="Q167" s="184"/>
      <c r="R167" s="191"/>
      <c r="S167" s="191"/>
      <c r="T167" s="191"/>
    </row>
    <row r="168" spans="1:20">
      <c r="A168" s="263"/>
      <c r="B168" s="145" t="s">
        <v>93</v>
      </c>
      <c r="C168" s="217">
        <v>0</v>
      </c>
      <c r="D168" s="217">
        <v>0</v>
      </c>
      <c r="E168" s="217">
        <v>0</v>
      </c>
      <c r="F168" s="217">
        <v>0</v>
      </c>
      <c r="G168" s="217">
        <v>0</v>
      </c>
      <c r="H168" s="217">
        <v>0</v>
      </c>
      <c r="I168" s="217">
        <v>0</v>
      </c>
      <c r="J168" s="217">
        <v>0</v>
      </c>
      <c r="K168" s="217">
        <v>0</v>
      </c>
      <c r="L168" s="217">
        <v>0</v>
      </c>
      <c r="M168" s="217">
        <v>0</v>
      </c>
      <c r="N168" s="217">
        <v>0</v>
      </c>
      <c r="O168" s="217">
        <v>0</v>
      </c>
      <c r="P168" s="232"/>
      <c r="Q168" s="184"/>
      <c r="R168" s="191"/>
      <c r="S168" s="191"/>
      <c r="T168" s="191"/>
    </row>
    <row r="169" spans="1:20">
      <c r="A169" s="263"/>
      <c r="B169" s="145" t="s">
        <v>226</v>
      </c>
      <c r="C169" s="217">
        <v>0</v>
      </c>
      <c r="D169" s="217">
        <v>0</v>
      </c>
      <c r="E169" s="217">
        <v>0</v>
      </c>
      <c r="F169" s="217">
        <v>0</v>
      </c>
      <c r="G169" s="217">
        <v>0</v>
      </c>
      <c r="H169" s="217">
        <v>0</v>
      </c>
      <c r="I169" s="217">
        <v>0</v>
      </c>
      <c r="J169" s="217">
        <v>0</v>
      </c>
      <c r="K169" s="217">
        <v>0</v>
      </c>
      <c r="L169" s="217">
        <v>0</v>
      </c>
      <c r="M169" s="217">
        <v>0</v>
      </c>
      <c r="N169" s="217">
        <v>0</v>
      </c>
      <c r="O169" s="217">
        <v>0</v>
      </c>
      <c r="P169" s="232"/>
      <c r="Q169" s="184"/>
      <c r="R169" s="191"/>
      <c r="S169" s="191"/>
      <c r="T169" s="191"/>
    </row>
    <row r="170" spans="1:20">
      <c r="A170" s="263"/>
      <c r="B170" s="145" t="s">
        <v>287</v>
      </c>
      <c r="C170" s="217">
        <v>0</v>
      </c>
      <c r="D170" s="217">
        <v>0</v>
      </c>
      <c r="E170" s="217">
        <v>0</v>
      </c>
      <c r="F170" s="217">
        <v>0</v>
      </c>
      <c r="G170" s="217">
        <v>0</v>
      </c>
      <c r="H170" s="217">
        <v>0</v>
      </c>
      <c r="I170" s="217">
        <v>0</v>
      </c>
      <c r="J170" s="217">
        <v>0</v>
      </c>
      <c r="K170" s="217">
        <v>0</v>
      </c>
      <c r="L170" s="217">
        <v>0</v>
      </c>
      <c r="M170" s="217">
        <v>0</v>
      </c>
      <c r="N170" s="217">
        <v>0</v>
      </c>
      <c r="O170" s="217">
        <v>0</v>
      </c>
      <c r="P170" s="232"/>
      <c r="Q170" s="184"/>
      <c r="R170" s="191"/>
      <c r="S170" s="191"/>
      <c r="T170" s="191"/>
    </row>
    <row r="171" spans="1:20">
      <c r="A171" s="264"/>
      <c r="B171" s="215" t="s">
        <v>0</v>
      </c>
      <c r="C171" s="218">
        <v>72148.2</v>
      </c>
      <c r="D171" s="218">
        <v>121449.60000000001</v>
      </c>
      <c r="E171" s="218">
        <v>58310</v>
      </c>
      <c r="F171" s="218">
        <v>103133.1</v>
      </c>
      <c r="G171" s="218">
        <v>34754.300000000003</v>
      </c>
      <c r="H171" s="218">
        <v>54714.3</v>
      </c>
      <c r="I171" s="218">
        <v>75416.600000000006</v>
      </c>
      <c r="J171" s="218">
        <v>134313.1</v>
      </c>
      <c r="K171" s="218">
        <v>159582.29999999999</v>
      </c>
      <c r="L171" s="218">
        <v>127474.9</v>
      </c>
      <c r="M171" s="218">
        <v>341457.9</v>
      </c>
      <c r="N171" s="218">
        <v>136367.20000000001</v>
      </c>
      <c r="O171" s="218">
        <v>131650.29999999999</v>
      </c>
      <c r="P171" s="184">
        <f>O171/C171-1</f>
        <v>0.82472050584768564</v>
      </c>
      <c r="Q171" s="184"/>
      <c r="R171" s="191"/>
      <c r="S171" s="191"/>
      <c r="T171" s="191"/>
    </row>
    <row r="172" spans="1:20">
      <c r="A172" s="191"/>
      <c r="B172" s="191"/>
      <c r="C172" s="198"/>
      <c r="D172" s="191"/>
      <c r="E172" s="191"/>
      <c r="F172" s="191"/>
      <c r="G172" s="191"/>
      <c r="H172" s="191"/>
      <c r="I172" s="191"/>
      <c r="J172" s="191"/>
      <c r="K172" s="191"/>
      <c r="L172" s="191"/>
      <c r="M172" s="191"/>
      <c r="N172" s="191"/>
      <c r="O172" s="198"/>
      <c r="P172" s="198"/>
      <c r="Q172" s="191"/>
      <c r="R172" s="191"/>
      <c r="S172" s="191"/>
      <c r="T172" s="191"/>
    </row>
    <row r="173" spans="1:20">
      <c r="C173" s="198"/>
      <c r="O173" s="198"/>
      <c r="P173" s="191"/>
      <c r="Q173" s="191"/>
      <c r="R173" s="191"/>
      <c r="S173" s="191"/>
      <c r="T173" s="191"/>
    </row>
    <row r="174" spans="1:20">
      <c r="O174" s="191"/>
      <c r="P174" s="191"/>
      <c r="Q174" s="191"/>
      <c r="R174" s="191"/>
      <c r="S174" s="191"/>
      <c r="T174" s="191"/>
    </row>
    <row r="175" spans="1:20">
      <c r="C175" s="213"/>
      <c r="O175" s="191"/>
      <c r="P175" s="191"/>
      <c r="Q175" s="191"/>
      <c r="R175" s="191"/>
      <c r="S175" s="191"/>
      <c r="T175" s="191"/>
    </row>
    <row r="176" spans="1:20">
      <c r="A176" s="191"/>
      <c r="B176" s="191"/>
      <c r="C176" s="191"/>
      <c r="D176" s="191"/>
      <c r="E176" s="191"/>
      <c r="F176" s="191"/>
      <c r="G176" s="191"/>
      <c r="H176" s="191"/>
      <c r="I176" s="191"/>
      <c r="J176" s="191"/>
      <c r="K176" s="191"/>
      <c r="L176" s="191"/>
      <c r="M176" s="191"/>
      <c r="N176" s="191"/>
      <c r="O176" s="191"/>
      <c r="P176" s="191"/>
      <c r="Q176" s="191"/>
      <c r="R176" s="191"/>
      <c r="S176" s="191"/>
      <c r="T176" s="191"/>
    </row>
    <row r="177" spans="1:21">
      <c r="A177" s="191"/>
      <c r="B177" s="191"/>
      <c r="C177" s="191"/>
      <c r="D177" s="191"/>
      <c r="E177" s="191"/>
      <c r="F177" s="191"/>
      <c r="G177" s="191"/>
      <c r="H177" s="191"/>
      <c r="I177" s="191"/>
      <c r="J177" s="191"/>
      <c r="K177" s="191"/>
      <c r="L177" s="191"/>
      <c r="M177" s="191"/>
      <c r="N177" s="191"/>
      <c r="O177" s="191"/>
      <c r="P177" s="191"/>
      <c r="Q177" s="191"/>
      <c r="R177" s="191"/>
      <c r="S177" s="191"/>
      <c r="T177" s="191"/>
    </row>
    <row r="179" spans="1:21">
      <c r="A179" s="88" t="s">
        <v>228</v>
      </c>
      <c r="B179" s="191"/>
    </row>
    <row r="180" spans="1:21">
      <c r="B180" s="194" t="str">
        <f>MID(B181,6,1)</f>
        <v>S</v>
      </c>
      <c r="C180" s="194" t="str">
        <f t="shared" ref="C180:N180" si="5">MID(C181,6,1)</f>
        <v>O</v>
      </c>
      <c r="D180" s="194" t="str">
        <f t="shared" si="5"/>
        <v>N</v>
      </c>
      <c r="E180" s="194" t="str">
        <f t="shared" si="5"/>
        <v>D</v>
      </c>
      <c r="F180" s="194" t="str">
        <f t="shared" si="5"/>
        <v>E</v>
      </c>
      <c r="G180" s="194" t="str">
        <f t="shared" si="5"/>
        <v>F</v>
      </c>
      <c r="H180" s="194" t="str">
        <f t="shared" si="5"/>
        <v>M</v>
      </c>
      <c r="I180" s="194" t="str">
        <f t="shared" si="5"/>
        <v>A</v>
      </c>
      <c r="J180" s="194" t="str">
        <f t="shared" si="5"/>
        <v>M</v>
      </c>
      <c r="K180" s="194" t="str">
        <f t="shared" si="5"/>
        <v>J</v>
      </c>
      <c r="L180" s="194" t="str">
        <f t="shared" si="5"/>
        <v>J</v>
      </c>
      <c r="M180" s="194" t="str">
        <f t="shared" si="5"/>
        <v>A</v>
      </c>
      <c r="N180" s="194" t="str">
        <f t="shared" si="5"/>
        <v>S</v>
      </c>
    </row>
    <row r="181" spans="1:21">
      <c r="A181" s="143" t="s">
        <v>95</v>
      </c>
      <c r="B181" s="249" t="s">
        <v>267</v>
      </c>
      <c r="C181" s="249" t="s">
        <v>270</v>
      </c>
      <c r="D181" s="249" t="s">
        <v>273</v>
      </c>
      <c r="E181" s="249" t="s">
        <v>274</v>
      </c>
      <c r="F181" s="249" t="s">
        <v>276</v>
      </c>
      <c r="G181" s="249" t="s">
        <v>278</v>
      </c>
      <c r="H181" s="249" t="s">
        <v>281</v>
      </c>
      <c r="I181" s="249" t="s">
        <v>285</v>
      </c>
      <c r="J181" s="249" t="s">
        <v>289</v>
      </c>
      <c r="K181" s="249" t="s">
        <v>291</v>
      </c>
      <c r="L181" s="249" t="s">
        <v>293</v>
      </c>
      <c r="M181" s="249" t="s">
        <v>295</v>
      </c>
      <c r="N181" s="249" t="s">
        <v>327</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3">
        <v>822.56562499999995</v>
      </c>
      <c r="C183" s="213">
        <v>822.96510067115003</v>
      </c>
      <c r="D183" s="213">
        <v>821.30416666667497</v>
      </c>
      <c r="E183" s="213">
        <v>822.25806451612505</v>
      </c>
      <c r="F183" s="213">
        <v>823.45698924732505</v>
      </c>
      <c r="G183" s="213">
        <v>822.22126436782503</v>
      </c>
      <c r="H183" s="213">
        <v>819.6032974428</v>
      </c>
      <c r="I183" s="213">
        <v>822.60972222222495</v>
      </c>
      <c r="J183" s="213">
        <v>860.69455645162498</v>
      </c>
      <c r="K183" s="213">
        <v>909.48680555554995</v>
      </c>
      <c r="L183" s="213">
        <v>895.87533602149995</v>
      </c>
      <c r="M183" s="213">
        <v>896.60181451612505</v>
      </c>
      <c r="N183" s="213">
        <v>904.94791666667504</v>
      </c>
      <c r="O183" s="185">
        <f>N183/B183-1</f>
        <v>0.10015285001324381</v>
      </c>
      <c r="P183" s="140"/>
    </row>
    <row r="184" spans="1:21">
      <c r="A184" s="145" t="s">
        <v>68</v>
      </c>
      <c r="B184" s="213">
        <v>822.96006944445003</v>
      </c>
      <c r="C184" s="213">
        <v>823.74899328859999</v>
      </c>
      <c r="D184" s="213">
        <v>822.11944444444998</v>
      </c>
      <c r="E184" s="213">
        <v>822.55241935485003</v>
      </c>
      <c r="F184" s="213">
        <v>823.64112903224998</v>
      </c>
      <c r="G184" s="213">
        <v>823.20258620690004</v>
      </c>
      <c r="H184" s="213">
        <v>821.91823687752503</v>
      </c>
      <c r="I184" s="213">
        <v>825.41666666667504</v>
      </c>
      <c r="J184" s="213">
        <v>863.35450268817499</v>
      </c>
      <c r="K184" s="213">
        <v>912.17291666667495</v>
      </c>
      <c r="L184" s="213">
        <v>897.59307795699999</v>
      </c>
      <c r="M184" s="213">
        <v>897.21471774192503</v>
      </c>
      <c r="N184" s="213">
        <v>906.32291666667504</v>
      </c>
      <c r="O184" s="185"/>
      <c r="P184" s="140"/>
    </row>
    <row r="185" spans="1:21">
      <c r="C185" s="217"/>
      <c r="P185" s="140"/>
    </row>
    <row r="186" spans="1:21">
      <c r="C186" s="217"/>
      <c r="P186" s="140"/>
    </row>
    <row r="187" spans="1:21">
      <c r="A187" s="88" t="s">
        <v>229</v>
      </c>
      <c r="B187" s="194" t="str">
        <f>MID(B189,6,1)</f>
        <v>S</v>
      </c>
      <c r="C187" s="194" t="str">
        <f t="shared" ref="C187:N187" si="6">MID(C189,6,1)</f>
        <v>O</v>
      </c>
      <c r="D187" s="194" t="str">
        <f t="shared" si="6"/>
        <v>N</v>
      </c>
      <c r="E187" s="194" t="str">
        <f t="shared" si="6"/>
        <v>D</v>
      </c>
      <c r="F187" s="194" t="str">
        <f t="shared" si="6"/>
        <v>E</v>
      </c>
      <c r="G187" s="194" t="str">
        <f t="shared" si="6"/>
        <v>F</v>
      </c>
      <c r="H187" s="194" t="str">
        <f t="shared" si="6"/>
        <v>M</v>
      </c>
      <c r="I187" s="194" t="str">
        <f t="shared" si="6"/>
        <v>A</v>
      </c>
      <c r="J187" s="194" t="str">
        <f t="shared" si="6"/>
        <v>M</v>
      </c>
      <c r="K187" s="194" t="str">
        <f t="shared" si="6"/>
        <v>J</v>
      </c>
      <c r="L187" s="194" t="str">
        <f t="shared" si="6"/>
        <v>J</v>
      </c>
      <c r="M187" s="194" t="str">
        <f t="shared" si="6"/>
        <v>A</v>
      </c>
      <c r="N187" s="194" t="str">
        <f t="shared" si="6"/>
        <v>S</v>
      </c>
      <c r="P187" s="183"/>
      <c r="Q187" s="183"/>
    </row>
    <row r="188" spans="1:21">
      <c r="A188" s="143" t="s">
        <v>28</v>
      </c>
      <c r="B188" s="266" t="s">
        <v>253</v>
      </c>
      <c r="C188" s="267"/>
      <c r="D188" s="267"/>
      <c r="E188" s="267"/>
      <c r="F188" s="267"/>
      <c r="G188" s="267"/>
      <c r="H188" s="267"/>
      <c r="I188" s="267"/>
      <c r="J188" s="267"/>
      <c r="K188" s="267"/>
      <c r="L188" s="267"/>
      <c r="M188" s="267"/>
      <c r="N188" s="267"/>
      <c r="P188" s="183"/>
      <c r="Q188" s="183"/>
    </row>
    <row r="189" spans="1:21">
      <c r="A189" s="143" t="s">
        <v>95</v>
      </c>
      <c r="B189" s="249" t="s">
        <v>267</v>
      </c>
      <c r="C189" s="249" t="s">
        <v>270</v>
      </c>
      <c r="D189" s="249" t="s">
        <v>273</v>
      </c>
      <c r="E189" s="249" t="s">
        <v>274</v>
      </c>
      <c r="F189" s="249" t="s">
        <v>276</v>
      </c>
      <c r="G189" s="249" t="s">
        <v>278</v>
      </c>
      <c r="H189" s="249" t="s">
        <v>281</v>
      </c>
      <c r="I189" s="249" t="s">
        <v>285</v>
      </c>
      <c r="J189" s="249" t="s">
        <v>289</v>
      </c>
      <c r="K189" s="249" t="s">
        <v>291</v>
      </c>
      <c r="L189" s="249" t="s">
        <v>293</v>
      </c>
      <c r="M189" s="249" t="s">
        <v>295</v>
      </c>
      <c r="N189" s="249" t="s">
        <v>327</v>
      </c>
      <c r="P189" s="183"/>
      <c r="Q189" s="183"/>
    </row>
    <row r="190" spans="1:21">
      <c r="A190" s="143" t="s">
        <v>128</v>
      </c>
      <c r="B190" s="170"/>
      <c r="C190" s="170"/>
      <c r="D190" s="170"/>
      <c r="E190" s="170"/>
      <c r="F190" s="170"/>
      <c r="G190" s="170"/>
      <c r="H190" s="170"/>
      <c r="I190" s="170"/>
      <c r="J190" s="170"/>
      <c r="K190" s="170"/>
      <c r="L190" s="170"/>
      <c r="M190" s="170"/>
      <c r="N190" s="170"/>
      <c r="O190" s="185"/>
      <c r="P190" s="183"/>
      <c r="Q190" s="183"/>
    </row>
    <row r="191" spans="1:21">
      <c r="A191" s="145" t="s">
        <v>83</v>
      </c>
      <c r="B191" s="217">
        <v>162.49619999999999</v>
      </c>
      <c r="C191" s="217">
        <v>143.82445000000001</v>
      </c>
      <c r="D191" s="217">
        <v>114.87354999999999</v>
      </c>
      <c r="E191" s="217">
        <v>125.279425</v>
      </c>
      <c r="F191" s="217">
        <v>128.19069999999999</v>
      </c>
      <c r="G191" s="217">
        <v>110.41272499999999</v>
      </c>
      <c r="H191" s="217">
        <v>137.99905000000001</v>
      </c>
      <c r="I191" s="217">
        <v>142.64092500000001</v>
      </c>
      <c r="J191" s="217">
        <v>129.96244999999999</v>
      </c>
      <c r="K191" s="217">
        <v>140.64422500000001</v>
      </c>
      <c r="L191" s="217">
        <v>145.18279999999999</v>
      </c>
      <c r="M191" s="217">
        <v>180.042475</v>
      </c>
      <c r="N191" s="217">
        <v>165.537925</v>
      </c>
      <c r="O191" s="185">
        <f>N191/B191-1</f>
        <v>1.8718745422970029E-2</v>
      </c>
      <c r="P191" s="183"/>
      <c r="Q191" s="183"/>
      <c r="S191" s="117"/>
      <c r="T191" s="117"/>
      <c r="U191" s="117"/>
    </row>
    <row r="192" spans="1:21">
      <c r="A192" s="145" t="s">
        <v>79</v>
      </c>
      <c r="B192" s="217">
        <v>160.777525</v>
      </c>
      <c r="C192" s="217">
        <v>195.65067500000001</v>
      </c>
      <c r="D192" s="217">
        <v>230.77799999999999</v>
      </c>
      <c r="E192" s="217">
        <v>216.30930000000001</v>
      </c>
      <c r="F192" s="217">
        <v>222.36382499999999</v>
      </c>
      <c r="G192" s="217">
        <v>246.44477499999999</v>
      </c>
      <c r="H192" s="217">
        <v>265.50565</v>
      </c>
      <c r="I192" s="217">
        <v>253.72047499999999</v>
      </c>
      <c r="J192" s="217">
        <v>255.9136</v>
      </c>
      <c r="K192" s="217">
        <v>200.79612499999999</v>
      </c>
      <c r="L192" s="217">
        <v>219.31675000000001</v>
      </c>
      <c r="M192" s="217">
        <v>174.548475</v>
      </c>
      <c r="N192" s="217">
        <v>172.08167499999999</v>
      </c>
      <c r="O192" s="185">
        <f>N192/B192-1</f>
        <v>7.0309267417818511E-2</v>
      </c>
      <c r="P192" s="185">
        <f>(N191+N192)/(B191+B192)-1</f>
        <v>4.4376866694006756E-2</v>
      </c>
      <c r="Q192" s="183"/>
      <c r="S192" s="117"/>
      <c r="T192" s="117"/>
      <c r="U192" s="117"/>
    </row>
    <row r="193" spans="1:17">
      <c r="B193" s="199"/>
      <c r="M193" s="199"/>
      <c r="N193" s="199"/>
    </row>
    <row r="194" spans="1:17">
      <c r="A194" s="88" t="s">
        <v>230</v>
      </c>
      <c r="C194" s="169" t="str">
        <f t="shared" ref="C194:O194" si="7">MID(C196,6,1)</f>
        <v>S</v>
      </c>
      <c r="D194" s="169" t="str">
        <f t="shared" si="7"/>
        <v>O</v>
      </c>
      <c r="E194" s="169" t="str">
        <f t="shared" si="7"/>
        <v>N</v>
      </c>
      <c r="F194" s="169" t="str">
        <f t="shared" si="7"/>
        <v>D</v>
      </c>
      <c r="G194" s="169" t="str">
        <f t="shared" si="7"/>
        <v>E</v>
      </c>
      <c r="H194" s="169" t="str">
        <f t="shared" si="7"/>
        <v>F</v>
      </c>
      <c r="I194" s="169" t="str">
        <f t="shared" si="7"/>
        <v>M</v>
      </c>
      <c r="J194" s="169" t="str">
        <f t="shared" si="7"/>
        <v>A</v>
      </c>
      <c r="K194" s="169" t="str">
        <f t="shared" si="7"/>
        <v>M</v>
      </c>
      <c r="L194" s="169" t="str">
        <f t="shared" si="7"/>
        <v>J</v>
      </c>
      <c r="M194" s="169" t="str">
        <f t="shared" si="7"/>
        <v>J</v>
      </c>
      <c r="N194" s="169" t="str">
        <f t="shared" si="7"/>
        <v>A</v>
      </c>
      <c r="O194" s="169" t="str">
        <f t="shared" si="7"/>
        <v>S</v>
      </c>
    </row>
    <row r="195" spans="1:17">
      <c r="A195" s="143"/>
      <c r="B195" s="143" t="s">
        <v>28</v>
      </c>
      <c r="C195" s="266" t="s">
        <v>212</v>
      </c>
      <c r="D195" s="267"/>
      <c r="E195" s="267"/>
      <c r="F195" s="267"/>
      <c r="G195" s="267"/>
      <c r="H195" s="267"/>
      <c r="I195" s="267"/>
      <c r="J195" s="267"/>
      <c r="K195" s="267"/>
      <c r="L195" s="267"/>
      <c r="M195" s="267"/>
      <c r="N195" s="267"/>
      <c r="O195" s="267"/>
      <c r="P195" s="183"/>
      <c r="Q195" s="183"/>
    </row>
    <row r="196" spans="1:17">
      <c r="A196" s="143"/>
      <c r="B196" s="144" t="s">
        <v>95</v>
      </c>
      <c r="C196" s="249" t="s">
        <v>267</v>
      </c>
      <c r="D196" s="249" t="s">
        <v>270</v>
      </c>
      <c r="E196" s="249" t="s">
        <v>273</v>
      </c>
      <c r="F196" s="249" t="s">
        <v>274</v>
      </c>
      <c r="G196" s="249" t="s">
        <v>276</v>
      </c>
      <c r="H196" s="249" t="s">
        <v>278</v>
      </c>
      <c r="I196" s="249" t="s">
        <v>281</v>
      </c>
      <c r="J196" s="249" t="s">
        <v>285</v>
      </c>
      <c r="K196" s="249" t="s">
        <v>289</v>
      </c>
      <c r="L196" s="249" t="s">
        <v>291</v>
      </c>
      <c r="M196" s="249" t="s">
        <v>293</v>
      </c>
      <c r="N196" s="249" t="s">
        <v>295</v>
      </c>
      <c r="O196" s="249" t="s">
        <v>327</v>
      </c>
      <c r="P196" s="183"/>
      <c r="Q196" s="183"/>
    </row>
    <row r="197" spans="1:17">
      <c r="A197" s="143" t="s">
        <v>128</v>
      </c>
      <c r="B197" s="143" t="s">
        <v>129</v>
      </c>
      <c r="C197" s="170"/>
      <c r="D197" s="170"/>
      <c r="E197" s="170"/>
      <c r="F197" s="170"/>
      <c r="G197" s="170"/>
      <c r="H197" s="170"/>
      <c r="I197" s="170"/>
      <c r="J197" s="170"/>
      <c r="K197" s="170"/>
      <c r="L197" s="170"/>
      <c r="M197" s="170"/>
      <c r="N197" s="170"/>
      <c r="O197" s="170"/>
      <c r="P197" s="183"/>
      <c r="Q197" s="183"/>
    </row>
    <row r="198" spans="1:17">
      <c r="A198" s="262" t="s">
        <v>79</v>
      </c>
      <c r="B198" s="145" t="s">
        <v>90</v>
      </c>
      <c r="C198" s="214">
        <v>0</v>
      </c>
      <c r="D198" s="214">
        <v>0</v>
      </c>
      <c r="E198" s="214">
        <v>0</v>
      </c>
      <c r="F198" s="214">
        <v>0</v>
      </c>
      <c r="G198" s="214">
        <v>0</v>
      </c>
      <c r="H198" s="214">
        <v>0</v>
      </c>
      <c r="I198" s="214">
        <v>0</v>
      </c>
      <c r="J198" s="214">
        <v>0</v>
      </c>
      <c r="K198" s="214">
        <v>0</v>
      </c>
      <c r="L198" s="214">
        <v>0</v>
      </c>
      <c r="M198" s="214">
        <v>0</v>
      </c>
      <c r="N198" s="214">
        <v>0</v>
      </c>
      <c r="O198" s="214">
        <v>0</v>
      </c>
      <c r="P198" s="183"/>
      <c r="Q198" s="183"/>
    </row>
    <row r="199" spans="1:17">
      <c r="A199" s="263"/>
      <c r="B199" s="145" t="s">
        <v>81</v>
      </c>
      <c r="C199" s="214">
        <v>1098.8820000000001</v>
      </c>
      <c r="D199" s="214">
        <v>2715.0320000000002</v>
      </c>
      <c r="E199" s="214">
        <v>172.11699999999999</v>
      </c>
      <c r="F199" s="214">
        <v>377.1</v>
      </c>
      <c r="G199" s="214">
        <v>523.65</v>
      </c>
      <c r="H199" s="214">
        <v>13</v>
      </c>
      <c r="I199" s="214">
        <v>1.25</v>
      </c>
      <c r="J199" s="214">
        <v>58.75</v>
      </c>
      <c r="K199" s="214">
        <v>46.674999999999997</v>
      </c>
      <c r="L199" s="214">
        <v>56.25</v>
      </c>
      <c r="M199" s="214">
        <v>537</v>
      </c>
      <c r="N199" s="214">
        <v>17.5</v>
      </c>
      <c r="O199" s="214">
        <v>275.2</v>
      </c>
      <c r="P199" s="183"/>
      <c r="Q199" s="183"/>
    </row>
    <row r="200" spans="1:17">
      <c r="A200" s="263"/>
      <c r="B200" s="145" t="s">
        <v>24</v>
      </c>
      <c r="C200" s="214">
        <v>67978.899999999994</v>
      </c>
      <c r="D200" s="214">
        <v>75984.498999999996</v>
      </c>
      <c r="E200" s="214">
        <v>43840.328000000001</v>
      </c>
      <c r="F200" s="214">
        <v>79511.115999999995</v>
      </c>
      <c r="G200" s="214">
        <v>48869.214</v>
      </c>
      <c r="H200" s="214">
        <v>24120.724999999999</v>
      </c>
      <c r="I200" s="214">
        <v>10498.975</v>
      </c>
      <c r="J200" s="214">
        <v>9874.8809999999994</v>
      </c>
      <c r="K200" s="214">
        <v>37388.398000000001</v>
      </c>
      <c r="L200" s="214">
        <v>61515.864999999998</v>
      </c>
      <c r="M200" s="214">
        <v>117733.28599999999</v>
      </c>
      <c r="N200" s="214">
        <v>108037.599</v>
      </c>
      <c r="O200" s="214">
        <v>71329.876000000004</v>
      </c>
      <c r="P200" s="183"/>
      <c r="Q200" s="183"/>
    </row>
    <row r="201" spans="1:17">
      <c r="A201" s="263"/>
      <c r="B201" s="145" t="s">
        <v>88</v>
      </c>
      <c r="C201" s="214">
        <v>0.25</v>
      </c>
      <c r="D201" s="214">
        <v>16.5</v>
      </c>
      <c r="E201" s="214">
        <v>7.5</v>
      </c>
      <c r="F201" s="214">
        <v>46.674999999999997</v>
      </c>
      <c r="G201" s="214">
        <v>27.507999999999999</v>
      </c>
      <c r="H201" s="214">
        <v>20.75</v>
      </c>
      <c r="I201" s="214">
        <v>6.95</v>
      </c>
      <c r="J201" s="214">
        <v>13.074999999999999</v>
      </c>
      <c r="K201" s="214">
        <v>5.15</v>
      </c>
      <c r="L201" s="214">
        <v>28.95</v>
      </c>
      <c r="M201" s="214">
        <v>6.75</v>
      </c>
      <c r="N201" s="214">
        <v>23.632999999999999</v>
      </c>
      <c r="O201" s="214">
        <v>8.4250000000000007</v>
      </c>
      <c r="P201" s="183"/>
      <c r="Q201" s="183"/>
    </row>
    <row r="202" spans="1:17">
      <c r="A202" s="263"/>
      <c r="B202" s="145" t="s">
        <v>82</v>
      </c>
      <c r="C202" s="214">
        <v>23304.2</v>
      </c>
      <c r="D202" s="214">
        <v>29926.75</v>
      </c>
      <c r="E202" s="214">
        <v>24632.583999999999</v>
      </c>
      <c r="F202" s="214">
        <v>32172.6</v>
      </c>
      <c r="G202" s="214">
        <v>16987.325000000001</v>
      </c>
      <c r="H202" s="214">
        <v>19195.691999999999</v>
      </c>
      <c r="I202" s="214">
        <v>26103.108</v>
      </c>
      <c r="J202" s="214">
        <v>14422.1</v>
      </c>
      <c r="K202" s="214">
        <v>24589.24</v>
      </c>
      <c r="L202" s="214">
        <v>35192.391000000003</v>
      </c>
      <c r="M202" s="214">
        <v>33501.832999999999</v>
      </c>
      <c r="N202" s="214">
        <v>27203.424999999999</v>
      </c>
      <c r="O202" s="214">
        <v>25004.131000000001</v>
      </c>
      <c r="P202" s="183"/>
      <c r="Q202" s="183"/>
    </row>
    <row r="203" spans="1:17">
      <c r="A203" s="263"/>
      <c r="B203" s="145" t="s">
        <v>91</v>
      </c>
      <c r="C203" s="214">
        <v>0</v>
      </c>
      <c r="D203" s="214">
        <v>0</v>
      </c>
      <c r="E203" s="214">
        <v>0</v>
      </c>
      <c r="F203" s="214">
        <v>0</v>
      </c>
      <c r="G203" s="214">
        <v>0</v>
      </c>
      <c r="H203" s="214">
        <v>0</v>
      </c>
      <c r="I203" s="214">
        <v>0</v>
      </c>
      <c r="J203" s="214">
        <v>0</v>
      </c>
      <c r="K203" s="214">
        <v>0</v>
      </c>
      <c r="L203" s="214">
        <v>0</v>
      </c>
      <c r="M203" s="214">
        <v>0</v>
      </c>
      <c r="N203" s="214">
        <v>0</v>
      </c>
      <c r="O203" s="214">
        <v>0</v>
      </c>
      <c r="P203" s="183"/>
      <c r="Q203" s="183"/>
    </row>
    <row r="204" spans="1:17">
      <c r="A204" s="263"/>
      <c r="B204" s="145" t="s">
        <v>85</v>
      </c>
      <c r="C204" s="214">
        <v>10673.95</v>
      </c>
      <c r="D204" s="214">
        <v>18741.87</v>
      </c>
      <c r="E204" s="214">
        <v>28628.29</v>
      </c>
      <c r="F204" s="214">
        <v>15961.084999999999</v>
      </c>
      <c r="G204" s="214">
        <v>8593.4660000000003</v>
      </c>
      <c r="H204" s="214">
        <v>21041.275000000001</v>
      </c>
      <c r="I204" s="214">
        <v>89456.368000000002</v>
      </c>
      <c r="J204" s="214">
        <v>32837.114000000001</v>
      </c>
      <c r="K204" s="214">
        <v>18793.464</v>
      </c>
      <c r="L204" s="214">
        <v>19769.831999999999</v>
      </c>
      <c r="M204" s="214">
        <v>27242.550999999999</v>
      </c>
      <c r="N204" s="214">
        <v>18314.178</v>
      </c>
      <c r="O204" s="214">
        <v>14389.375</v>
      </c>
      <c r="P204" s="183"/>
      <c r="Q204" s="183"/>
    </row>
    <row r="205" spans="1:17">
      <c r="A205" s="263"/>
      <c r="B205" s="145" t="s">
        <v>92</v>
      </c>
      <c r="C205" s="214">
        <v>0</v>
      </c>
      <c r="D205" s="214">
        <v>0</v>
      </c>
      <c r="E205" s="214">
        <v>0</v>
      </c>
      <c r="F205" s="214">
        <v>0</v>
      </c>
      <c r="G205" s="214">
        <v>0</v>
      </c>
      <c r="H205" s="214">
        <v>0</v>
      </c>
      <c r="I205" s="214">
        <v>0</v>
      </c>
      <c r="J205" s="214">
        <v>0</v>
      </c>
      <c r="K205" s="214">
        <v>0</v>
      </c>
      <c r="L205" s="214">
        <v>0</v>
      </c>
      <c r="M205" s="214">
        <v>0</v>
      </c>
      <c r="N205" s="214">
        <v>0</v>
      </c>
      <c r="O205" s="214">
        <v>0</v>
      </c>
      <c r="P205" s="183"/>
      <c r="Q205" s="183"/>
    </row>
    <row r="206" spans="1:17">
      <c r="A206" s="263"/>
      <c r="B206" s="145" t="s">
        <v>287</v>
      </c>
      <c r="C206" s="214">
        <v>0</v>
      </c>
      <c r="D206" s="214">
        <v>0</v>
      </c>
      <c r="E206" s="214">
        <v>0</v>
      </c>
      <c r="F206" s="214">
        <v>0</v>
      </c>
      <c r="G206" s="214">
        <v>0</v>
      </c>
      <c r="H206" s="214">
        <v>0</v>
      </c>
      <c r="I206" s="214">
        <v>0</v>
      </c>
      <c r="J206" s="214">
        <v>0</v>
      </c>
      <c r="K206" s="214">
        <v>0</v>
      </c>
      <c r="L206" s="214">
        <v>0</v>
      </c>
      <c r="M206" s="214">
        <v>0</v>
      </c>
      <c r="N206" s="214">
        <v>0</v>
      </c>
      <c r="O206" s="214">
        <v>0</v>
      </c>
      <c r="P206" s="183"/>
      <c r="Q206" s="183"/>
    </row>
    <row r="207" spans="1:17">
      <c r="A207" s="263"/>
      <c r="B207" s="145" t="s">
        <v>20</v>
      </c>
      <c r="C207" s="214">
        <v>16895.894</v>
      </c>
      <c r="D207" s="214">
        <v>32145.415000000001</v>
      </c>
      <c r="E207" s="214">
        <v>14889.19</v>
      </c>
      <c r="F207" s="214">
        <v>56456.754000000001</v>
      </c>
      <c r="G207" s="214">
        <v>26383.8</v>
      </c>
      <c r="H207" s="214">
        <v>33224.966</v>
      </c>
      <c r="I207" s="214">
        <v>37741.302000000003</v>
      </c>
      <c r="J207" s="214">
        <v>32447.29</v>
      </c>
      <c r="K207" s="214">
        <v>34258.17</v>
      </c>
      <c r="L207" s="214">
        <v>52189.11</v>
      </c>
      <c r="M207" s="214">
        <v>44286.06</v>
      </c>
      <c r="N207" s="214">
        <v>45614.728999999999</v>
      </c>
      <c r="O207" s="214">
        <v>21337.156999999999</v>
      </c>
      <c r="P207" s="183"/>
      <c r="Q207" s="183"/>
    </row>
    <row r="208" spans="1:17">
      <c r="A208" s="263"/>
      <c r="B208" s="145" t="s">
        <v>226</v>
      </c>
      <c r="C208" s="214">
        <v>0</v>
      </c>
      <c r="D208" s="214">
        <v>0</v>
      </c>
      <c r="E208" s="214">
        <v>0</v>
      </c>
      <c r="F208" s="214">
        <v>0</v>
      </c>
      <c r="G208" s="214">
        <v>0</v>
      </c>
      <c r="H208" s="214">
        <v>0</v>
      </c>
      <c r="I208" s="214">
        <v>0</v>
      </c>
      <c r="J208" s="214">
        <v>0</v>
      </c>
      <c r="K208" s="214">
        <v>0</v>
      </c>
      <c r="L208" s="214">
        <v>0</v>
      </c>
      <c r="M208" s="214">
        <v>0</v>
      </c>
      <c r="N208" s="214">
        <v>0</v>
      </c>
      <c r="O208" s="214">
        <v>0</v>
      </c>
      <c r="P208" s="183"/>
      <c r="Q208" s="183"/>
    </row>
    <row r="209" spans="1:17">
      <c r="A209" s="263"/>
      <c r="B209" s="145" t="s">
        <v>93</v>
      </c>
      <c r="C209" s="214">
        <v>0</v>
      </c>
      <c r="D209" s="214">
        <v>0</v>
      </c>
      <c r="E209" s="214">
        <v>0</v>
      </c>
      <c r="F209" s="214">
        <v>0</v>
      </c>
      <c r="G209" s="214">
        <v>0</v>
      </c>
      <c r="H209" s="214">
        <v>0</v>
      </c>
      <c r="I209" s="214">
        <v>0</v>
      </c>
      <c r="J209" s="214">
        <v>0</v>
      </c>
      <c r="K209" s="214">
        <v>0</v>
      </c>
      <c r="L209" s="214">
        <v>0</v>
      </c>
      <c r="M209" s="214">
        <v>0</v>
      </c>
      <c r="N209" s="214">
        <v>0</v>
      </c>
      <c r="O209" s="214">
        <v>0</v>
      </c>
      <c r="P209" s="183"/>
      <c r="Q209" s="183"/>
    </row>
    <row r="210" spans="1:17">
      <c r="A210" s="263"/>
      <c r="B210" s="145" t="s">
        <v>80</v>
      </c>
      <c r="C210" s="214">
        <v>188.6</v>
      </c>
      <c r="D210" s="214">
        <v>710.65</v>
      </c>
      <c r="E210" s="214">
        <v>70.150000000000006</v>
      </c>
      <c r="F210" s="214">
        <v>0</v>
      </c>
      <c r="G210" s="214">
        <v>129.17500000000001</v>
      </c>
      <c r="H210" s="214">
        <v>111.22499999999999</v>
      </c>
      <c r="I210" s="214">
        <v>321.82499999999999</v>
      </c>
      <c r="J210" s="214">
        <v>10.275</v>
      </c>
      <c r="K210" s="214">
        <v>318.7</v>
      </c>
      <c r="L210" s="214">
        <v>7.2</v>
      </c>
      <c r="M210" s="214">
        <v>522.85</v>
      </c>
      <c r="N210" s="214">
        <v>0</v>
      </c>
      <c r="O210" s="214">
        <v>0</v>
      </c>
      <c r="P210" s="183"/>
      <c r="Q210" s="183"/>
    </row>
    <row r="211" spans="1:17">
      <c r="A211" s="263"/>
      <c r="B211" s="145" t="s">
        <v>89</v>
      </c>
      <c r="C211" s="214">
        <v>32.700000000000003</v>
      </c>
      <c r="D211" s="214">
        <v>39.9</v>
      </c>
      <c r="E211" s="214">
        <v>31.25</v>
      </c>
      <c r="F211" s="214">
        <v>3.25</v>
      </c>
      <c r="G211" s="214">
        <v>1.5</v>
      </c>
      <c r="H211" s="214">
        <v>9</v>
      </c>
      <c r="I211" s="214">
        <v>0</v>
      </c>
      <c r="J211" s="214">
        <v>14</v>
      </c>
      <c r="K211" s="214">
        <v>0</v>
      </c>
      <c r="L211" s="214">
        <v>9</v>
      </c>
      <c r="M211" s="214">
        <v>60.5</v>
      </c>
      <c r="N211" s="214">
        <v>299.625</v>
      </c>
      <c r="O211" s="214">
        <v>284.55</v>
      </c>
      <c r="P211" s="183"/>
      <c r="Q211" s="183"/>
    </row>
    <row r="212" spans="1:17">
      <c r="A212" s="263"/>
      <c r="B212" s="145" t="s">
        <v>94</v>
      </c>
      <c r="C212" s="214">
        <v>0</v>
      </c>
      <c r="D212" s="214">
        <v>0</v>
      </c>
      <c r="E212" s="214">
        <v>0</v>
      </c>
      <c r="F212" s="214">
        <v>0</v>
      </c>
      <c r="G212" s="214">
        <v>0</v>
      </c>
      <c r="H212" s="214">
        <v>0</v>
      </c>
      <c r="I212" s="214">
        <v>0</v>
      </c>
      <c r="J212" s="214">
        <v>0</v>
      </c>
      <c r="K212" s="214">
        <v>0</v>
      </c>
      <c r="L212" s="214">
        <v>0</v>
      </c>
      <c r="M212" s="214">
        <v>0</v>
      </c>
      <c r="N212" s="214">
        <v>0</v>
      </c>
      <c r="O212" s="214">
        <v>0</v>
      </c>
      <c r="P212" s="183"/>
      <c r="Q212" s="183"/>
    </row>
    <row r="213" spans="1:17">
      <c r="A213" s="263"/>
      <c r="B213" s="145" t="s">
        <v>86</v>
      </c>
      <c r="C213" s="214">
        <v>2616.3249999999998</v>
      </c>
      <c r="D213" s="214">
        <v>2928.1329999999998</v>
      </c>
      <c r="E213" s="214">
        <v>3231.232</v>
      </c>
      <c r="F213" s="214">
        <v>3449.06</v>
      </c>
      <c r="G213" s="214">
        <v>1107.758</v>
      </c>
      <c r="H213" s="214">
        <v>3404.7750000000001</v>
      </c>
      <c r="I213" s="214">
        <v>8775.15</v>
      </c>
      <c r="J213" s="214">
        <v>17245.624</v>
      </c>
      <c r="K213" s="214">
        <v>12342.802</v>
      </c>
      <c r="L213" s="214">
        <v>5942.2259999999997</v>
      </c>
      <c r="M213" s="214">
        <v>11715.717000000001</v>
      </c>
      <c r="N213" s="214">
        <v>6043.3620000000001</v>
      </c>
      <c r="O213" s="214">
        <v>3037.88</v>
      </c>
      <c r="P213" s="183"/>
      <c r="Q213" s="183"/>
    </row>
    <row r="214" spans="1:17">
      <c r="A214" s="263"/>
      <c r="B214" s="145" t="s">
        <v>87</v>
      </c>
      <c r="C214" s="214">
        <v>77.25</v>
      </c>
      <c r="D214" s="214">
        <v>55.25</v>
      </c>
      <c r="E214" s="214">
        <v>0.75</v>
      </c>
      <c r="F214" s="214">
        <v>1</v>
      </c>
      <c r="G214" s="214">
        <v>1</v>
      </c>
      <c r="H214" s="214">
        <v>3.75</v>
      </c>
      <c r="I214" s="214">
        <v>4</v>
      </c>
      <c r="J214" s="214">
        <v>61.174999999999997</v>
      </c>
      <c r="K214" s="214">
        <v>10.925000000000001</v>
      </c>
      <c r="L214" s="214">
        <v>17.5</v>
      </c>
      <c r="M214" s="214">
        <v>0</v>
      </c>
      <c r="N214" s="214">
        <v>42.45</v>
      </c>
      <c r="O214" s="214">
        <v>35.475000000000001</v>
      </c>
      <c r="P214" s="183"/>
      <c r="Q214" s="183"/>
    </row>
    <row r="215" spans="1:17">
      <c r="A215" s="263"/>
      <c r="B215" s="145" t="s">
        <v>84</v>
      </c>
      <c r="C215" s="214">
        <v>25361.951000000001</v>
      </c>
      <c r="D215" s="214">
        <v>30795.542000000001</v>
      </c>
      <c r="E215" s="214">
        <v>26664.945</v>
      </c>
      <c r="F215" s="214">
        <v>30839.05</v>
      </c>
      <c r="G215" s="214">
        <v>28037.621999999999</v>
      </c>
      <c r="H215" s="214">
        <v>23687.084999999999</v>
      </c>
      <c r="I215" s="214">
        <v>23564.596000000001</v>
      </c>
      <c r="J215" s="214">
        <v>17764.125</v>
      </c>
      <c r="K215" s="214">
        <v>41513.373</v>
      </c>
      <c r="L215" s="214">
        <v>26517.401000000002</v>
      </c>
      <c r="M215" s="214">
        <v>25433.624</v>
      </c>
      <c r="N215" s="214">
        <v>17591.724999999999</v>
      </c>
      <c r="O215" s="214">
        <v>23246.357</v>
      </c>
      <c r="P215" s="184"/>
      <c r="Q215" s="183"/>
    </row>
    <row r="216" spans="1:17">
      <c r="A216" s="264"/>
      <c r="B216" s="215" t="s">
        <v>0</v>
      </c>
      <c r="C216" s="216">
        <v>148228.902</v>
      </c>
      <c r="D216" s="216">
        <v>194059.541</v>
      </c>
      <c r="E216" s="216">
        <v>142168.33600000001</v>
      </c>
      <c r="F216" s="216">
        <v>218817.69</v>
      </c>
      <c r="G216" s="216">
        <v>130662.018</v>
      </c>
      <c r="H216" s="216">
        <v>124832.243</v>
      </c>
      <c r="I216" s="216">
        <v>196473.524</v>
      </c>
      <c r="J216" s="216">
        <v>124748.409</v>
      </c>
      <c r="K216" s="216">
        <v>169266.897</v>
      </c>
      <c r="L216" s="216">
        <v>201245.72500000001</v>
      </c>
      <c r="M216" s="216">
        <v>261040.171</v>
      </c>
      <c r="N216" s="216">
        <v>223188.226</v>
      </c>
      <c r="O216" s="216">
        <v>158948.42600000001</v>
      </c>
      <c r="P216" s="184">
        <f>O216/C216-1</f>
        <v>7.2317367634552099E-2</v>
      </c>
      <c r="Q216" s="183"/>
    </row>
    <row r="217" spans="1:17">
      <c r="A217" s="265" t="s">
        <v>83</v>
      </c>
      <c r="B217" s="145" t="s">
        <v>90</v>
      </c>
      <c r="C217" s="214">
        <v>0</v>
      </c>
      <c r="D217" s="214">
        <v>0</v>
      </c>
      <c r="E217" s="214">
        <v>0</v>
      </c>
      <c r="F217" s="214">
        <v>0</v>
      </c>
      <c r="G217" s="214">
        <v>0</v>
      </c>
      <c r="H217" s="214">
        <v>0</v>
      </c>
      <c r="I217" s="214">
        <v>0</v>
      </c>
      <c r="J217" s="214">
        <v>0</v>
      </c>
      <c r="K217" s="214">
        <v>0</v>
      </c>
      <c r="L217" s="214">
        <v>0</v>
      </c>
      <c r="M217" s="214">
        <v>0</v>
      </c>
      <c r="N217" s="214">
        <v>0</v>
      </c>
      <c r="O217" s="214">
        <v>0</v>
      </c>
      <c r="P217" s="185"/>
      <c r="Q217" s="183"/>
    </row>
    <row r="218" spans="1:17">
      <c r="A218" s="263"/>
      <c r="B218" s="145" t="s">
        <v>81</v>
      </c>
      <c r="C218" s="214">
        <v>1345.508</v>
      </c>
      <c r="D218" s="214">
        <v>964.4</v>
      </c>
      <c r="E218" s="214">
        <v>1675.4749999999999</v>
      </c>
      <c r="F218" s="214">
        <v>1291.7750000000001</v>
      </c>
      <c r="G218" s="214">
        <v>673.35</v>
      </c>
      <c r="H218" s="214">
        <v>128.25</v>
      </c>
      <c r="I218" s="214">
        <v>205.75</v>
      </c>
      <c r="J218" s="214">
        <v>108.416</v>
      </c>
      <c r="K218" s="214">
        <v>0</v>
      </c>
      <c r="L218" s="214">
        <v>28.875</v>
      </c>
      <c r="M218" s="214">
        <v>43.225000000000001</v>
      </c>
      <c r="N218" s="214">
        <v>24.35</v>
      </c>
      <c r="O218" s="214">
        <v>50.225000000000001</v>
      </c>
      <c r="P218" s="183"/>
      <c r="Q218" s="183"/>
    </row>
    <row r="219" spans="1:17">
      <c r="A219" s="263"/>
      <c r="B219" s="145" t="s">
        <v>24</v>
      </c>
      <c r="C219" s="214">
        <v>50563.017999999996</v>
      </c>
      <c r="D219" s="214">
        <v>22845.582999999999</v>
      </c>
      <c r="E219" s="214">
        <v>28385.493999999999</v>
      </c>
      <c r="F219" s="214">
        <v>26696.399000000001</v>
      </c>
      <c r="G219" s="214">
        <v>45550.095000000001</v>
      </c>
      <c r="H219" s="214">
        <v>15727.6</v>
      </c>
      <c r="I219" s="214">
        <v>18188.05</v>
      </c>
      <c r="J219" s="214">
        <v>7771.009</v>
      </c>
      <c r="K219" s="214">
        <v>5794.3</v>
      </c>
      <c r="L219" s="214">
        <v>17066.666000000001</v>
      </c>
      <c r="M219" s="214">
        <v>18884.698</v>
      </c>
      <c r="N219" s="214">
        <v>30465.23</v>
      </c>
      <c r="O219" s="214">
        <v>26552.251</v>
      </c>
      <c r="P219" s="183"/>
      <c r="Q219" s="183"/>
    </row>
    <row r="220" spans="1:17">
      <c r="A220" s="263"/>
      <c r="B220" s="145" t="s">
        <v>88</v>
      </c>
      <c r="C220" s="214">
        <v>49</v>
      </c>
      <c r="D220" s="214">
        <v>47.774999999999999</v>
      </c>
      <c r="E220" s="214">
        <v>112.05</v>
      </c>
      <c r="F220" s="214">
        <v>169.083</v>
      </c>
      <c r="G220" s="214">
        <v>276.35000000000002</v>
      </c>
      <c r="H220" s="214">
        <v>583.46299999999997</v>
      </c>
      <c r="I220" s="214">
        <v>527.45699999999999</v>
      </c>
      <c r="J220" s="214">
        <v>557.76400000000001</v>
      </c>
      <c r="K220" s="214">
        <v>686.75300000000004</v>
      </c>
      <c r="L220" s="214">
        <v>663.923</v>
      </c>
      <c r="M220" s="214">
        <v>535.89800000000002</v>
      </c>
      <c r="N220" s="214">
        <v>464.19200000000001</v>
      </c>
      <c r="O220" s="214">
        <v>423.447</v>
      </c>
      <c r="P220" s="183"/>
      <c r="Q220" s="183"/>
    </row>
    <row r="221" spans="1:17">
      <c r="A221" s="263"/>
      <c r="B221" s="145" t="s">
        <v>82</v>
      </c>
      <c r="C221" s="214">
        <v>74303.001000000004</v>
      </c>
      <c r="D221" s="214">
        <v>50475.258000000002</v>
      </c>
      <c r="E221" s="214">
        <v>57681.133000000002</v>
      </c>
      <c r="F221" s="214">
        <v>43871.908000000003</v>
      </c>
      <c r="G221" s="214">
        <v>79325.524999999994</v>
      </c>
      <c r="H221" s="214">
        <v>82022.430999999997</v>
      </c>
      <c r="I221" s="214">
        <v>45802.294000000002</v>
      </c>
      <c r="J221" s="214">
        <v>40764.557000000001</v>
      </c>
      <c r="K221" s="214">
        <v>48624.482000000004</v>
      </c>
      <c r="L221" s="214">
        <v>41321.692000000003</v>
      </c>
      <c r="M221" s="214">
        <v>25771.183000000001</v>
      </c>
      <c r="N221" s="214">
        <v>38344.226999999999</v>
      </c>
      <c r="O221" s="214">
        <v>45577.822999999997</v>
      </c>
      <c r="P221" s="183"/>
      <c r="Q221" s="183"/>
    </row>
    <row r="222" spans="1:17">
      <c r="A222" s="263"/>
      <c r="B222" s="145" t="s">
        <v>91</v>
      </c>
      <c r="C222" s="214">
        <v>0</v>
      </c>
      <c r="D222" s="214">
        <v>0</v>
      </c>
      <c r="E222" s="214">
        <v>0</v>
      </c>
      <c r="F222" s="214">
        <v>0</v>
      </c>
      <c r="G222" s="214">
        <v>0</v>
      </c>
      <c r="H222" s="214">
        <v>0</v>
      </c>
      <c r="I222" s="214">
        <v>0</v>
      </c>
      <c r="J222" s="214">
        <v>0</v>
      </c>
      <c r="K222" s="214">
        <v>0</v>
      </c>
      <c r="L222" s="214">
        <v>0</v>
      </c>
      <c r="M222" s="214">
        <v>0</v>
      </c>
      <c r="N222" s="214">
        <v>0</v>
      </c>
      <c r="O222" s="214">
        <v>0</v>
      </c>
      <c r="P222" s="183"/>
      <c r="Q222" s="183"/>
    </row>
    <row r="223" spans="1:17">
      <c r="A223" s="263"/>
      <c r="B223" s="145" t="s">
        <v>85</v>
      </c>
      <c r="C223" s="214">
        <v>34150.357000000004</v>
      </c>
      <c r="D223" s="214">
        <v>49132.629000000001</v>
      </c>
      <c r="E223" s="214">
        <v>57832.260999999999</v>
      </c>
      <c r="F223" s="214">
        <v>33826.737999999998</v>
      </c>
      <c r="G223" s="214">
        <v>42752.623</v>
      </c>
      <c r="H223" s="214">
        <v>74658.864000000001</v>
      </c>
      <c r="I223" s="214">
        <v>81347.735000000001</v>
      </c>
      <c r="J223" s="214">
        <v>132414.59400000001</v>
      </c>
      <c r="K223" s="214">
        <v>77983.278000000006</v>
      </c>
      <c r="L223" s="214">
        <v>42036.362000000001</v>
      </c>
      <c r="M223" s="214">
        <v>28492.343000000001</v>
      </c>
      <c r="N223" s="214">
        <v>34129.855000000003</v>
      </c>
      <c r="O223" s="214">
        <v>73676.551000000007</v>
      </c>
      <c r="P223" s="183"/>
      <c r="Q223" s="183"/>
    </row>
    <row r="224" spans="1:17">
      <c r="A224" s="263"/>
      <c r="B224" s="145" t="s">
        <v>92</v>
      </c>
      <c r="C224" s="214">
        <v>0</v>
      </c>
      <c r="D224" s="214">
        <v>0</v>
      </c>
      <c r="E224" s="214">
        <v>0</v>
      </c>
      <c r="F224" s="214">
        <v>0</v>
      </c>
      <c r="G224" s="214">
        <v>0</v>
      </c>
      <c r="H224" s="214">
        <v>0</v>
      </c>
      <c r="I224" s="214">
        <v>0</v>
      </c>
      <c r="J224" s="214">
        <v>0</v>
      </c>
      <c r="K224" s="214">
        <v>0</v>
      </c>
      <c r="L224" s="214">
        <v>0</v>
      </c>
      <c r="M224" s="214">
        <v>0</v>
      </c>
      <c r="N224" s="214">
        <v>0</v>
      </c>
      <c r="O224" s="214">
        <v>0</v>
      </c>
      <c r="P224" s="183"/>
      <c r="Q224" s="183"/>
    </row>
    <row r="225" spans="1:28">
      <c r="A225" s="263"/>
      <c r="B225" s="145" t="s">
        <v>287</v>
      </c>
      <c r="C225" s="214">
        <v>0</v>
      </c>
      <c r="D225" s="214">
        <v>0</v>
      </c>
      <c r="E225" s="214">
        <v>0</v>
      </c>
      <c r="F225" s="214">
        <v>0</v>
      </c>
      <c r="G225" s="214">
        <v>0</v>
      </c>
      <c r="H225" s="214">
        <v>0</v>
      </c>
      <c r="I225" s="214">
        <v>0</v>
      </c>
      <c r="J225" s="214">
        <v>0</v>
      </c>
      <c r="K225" s="214">
        <v>0</v>
      </c>
      <c r="L225" s="214">
        <v>0</v>
      </c>
      <c r="M225" s="214">
        <v>0</v>
      </c>
      <c r="N225" s="214">
        <v>0</v>
      </c>
      <c r="O225" s="214">
        <v>0</v>
      </c>
      <c r="P225" s="183"/>
      <c r="Q225" s="183"/>
    </row>
    <row r="226" spans="1:28">
      <c r="A226" s="263"/>
      <c r="B226" s="145" t="s">
        <v>20</v>
      </c>
      <c r="C226" s="214">
        <v>24005.525000000001</v>
      </c>
      <c r="D226" s="214">
        <v>20329.391</v>
      </c>
      <c r="E226" s="214">
        <v>31092.688999999998</v>
      </c>
      <c r="F226" s="214">
        <v>30780.378000000001</v>
      </c>
      <c r="G226" s="214">
        <v>26953.973000000002</v>
      </c>
      <c r="H226" s="214">
        <v>55885.535000000003</v>
      </c>
      <c r="I226" s="214">
        <v>38845.872000000003</v>
      </c>
      <c r="J226" s="214">
        <v>39903.578000000001</v>
      </c>
      <c r="K226" s="214">
        <v>23028.602999999999</v>
      </c>
      <c r="L226" s="214">
        <v>24414.344000000001</v>
      </c>
      <c r="M226" s="214">
        <v>18123.583999999999</v>
      </c>
      <c r="N226" s="214">
        <v>20826.226999999999</v>
      </c>
      <c r="O226" s="214">
        <v>23009.672999999999</v>
      </c>
      <c r="P226" s="183"/>
      <c r="Q226" s="183"/>
    </row>
    <row r="227" spans="1:28">
      <c r="A227" s="263"/>
      <c r="B227" s="145" t="s">
        <v>226</v>
      </c>
      <c r="C227" s="214">
        <v>0</v>
      </c>
      <c r="D227" s="214">
        <v>0</v>
      </c>
      <c r="E227" s="214">
        <v>0</v>
      </c>
      <c r="F227" s="214">
        <v>0</v>
      </c>
      <c r="G227" s="214">
        <v>0</v>
      </c>
      <c r="H227" s="214">
        <v>0</v>
      </c>
      <c r="I227" s="214">
        <v>0</v>
      </c>
      <c r="J227" s="214">
        <v>0</v>
      </c>
      <c r="K227" s="214">
        <v>0</v>
      </c>
      <c r="L227" s="214">
        <v>0</v>
      </c>
      <c r="M227" s="214">
        <v>0</v>
      </c>
      <c r="N227" s="214">
        <v>0</v>
      </c>
      <c r="O227" s="214">
        <v>0</v>
      </c>
      <c r="P227" s="183"/>
      <c r="Q227" s="183"/>
    </row>
    <row r="228" spans="1:28">
      <c r="A228" s="263"/>
      <c r="B228" s="145" t="s">
        <v>93</v>
      </c>
      <c r="C228" s="214">
        <v>0</v>
      </c>
      <c r="D228" s="214">
        <v>0</v>
      </c>
      <c r="E228" s="214">
        <v>0</v>
      </c>
      <c r="F228" s="214">
        <v>0</v>
      </c>
      <c r="G228" s="214">
        <v>0</v>
      </c>
      <c r="H228" s="214">
        <v>0</v>
      </c>
      <c r="I228" s="214">
        <v>0</v>
      </c>
      <c r="J228" s="214">
        <v>0</v>
      </c>
      <c r="K228" s="214">
        <v>0</v>
      </c>
      <c r="L228" s="214">
        <v>0</v>
      </c>
      <c r="M228" s="214">
        <v>0</v>
      </c>
      <c r="N228" s="214">
        <v>0</v>
      </c>
      <c r="O228" s="214">
        <v>0</v>
      </c>
      <c r="P228" s="183"/>
      <c r="Q228" s="183"/>
    </row>
    <row r="229" spans="1:28">
      <c r="A229" s="263"/>
      <c r="B229" s="145" t="s">
        <v>80</v>
      </c>
      <c r="C229" s="214">
        <v>791.75</v>
      </c>
      <c r="D229" s="214">
        <v>212.72499999999999</v>
      </c>
      <c r="E229" s="214">
        <v>423.67500000000001</v>
      </c>
      <c r="F229" s="214">
        <v>259.75</v>
      </c>
      <c r="G229" s="214">
        <v>125.625</v>
      </c>
      <c r="H229" s="214">
        <v>733.57500000000005</v>
      </c>
      <c r="I229" s="214">
        <v>296.55</v>
      </c>
      <c r="J229" s="214">
        <v>772.65</v>
      </c>
      <c r="K229" s="214">
        <v>418.625</v>
      </c>
      <c r="L229" s="214">
        <v>350.47500000000002</v>
      </c>
      <c r="M229" s="214">
        <v>226.30799999999999</v>
      </c>
      <c r="N229" s="214">
        <v>0.4</v>
      </c>
      <c r="O229" s="214">
        <v>140</v>
      </c>
      <c r="P229" s="183"/>
      <c r="Q229" s="183"/>
    </row>
    <row r="230" spans="1:28">
      <c r="A230" s="263"/>
      <c r="B230" s="145" t="s">
        <v>89</v>
      </c>
      <c r="C230" s="214">
        <v>160.27500000000001</v>
      </c>
      <c r="D230" s="214">
        <v>38.5</v>
      </c>
      <c r="E230" s="214">
        <v>64.5</v>
      </c>
      <c r="F230" s="214">
        <v>35</v>
      </c>
      <c r="G230" s="214">
        <v>150.25</v>
      </c>
      <c r="H230" s="214">
        <v>91.974999999999994</v>
      </c>
      <c r="I230" s="214">
        <v>52.85</v>
      </c>
      <c r="J230" s="214">
        <v>256.20800000000003</v>
      </c>
      <c r="K230" s="214">
        <v>154.42500000000001</v>
      </c>
      <c r="L230" s="214">
        <v>130.041</v>
      </c>
      <c r="M230" s="214">
        <v>54.158000000000001</v>
      </c>
      <c r="N230" s="214">
        <v>122.11</v>
      </c>
      <c r="O230" s="214">
        <v>266.00099999999998</v>
      </c>
      <c r="P230" s="183"/>
      <c r="Q230" s="183"/>
    </row>
    <row r="231" spans="1:28">
      <c r="A231" s="263"/>
      <c r="B231" s="145" t="s">
        <v>94</v>
      </c>
      <c r="C231" s="214">
        <v>0</v>
      </c>
      <c r="D231" s="214">
        <v>0</v>
      </c>
      <c r="E231" s="214">
        <v>0</v>
      </c>
      <c r="F231" s="214">
        <v>0</v>
      </c>
      <c r="G231" s="214">
        <v>0</v>
      </c>
      <c r="H231" s="214">
        <v>0</v>
      </c>
      <c r="I231" s="214">
        <v>0</v>
      </c>
      <c r="J231" s="214">
        <v>0</v>
      </c>
      <c r="K231" s="214">
        <v>0</v>
      </c>
      <c r="L231" s="214">
        <v>0</v>
      </c>
      <c r="M231" s="214">
        <v>0</v>
      </c>
      <c r="N231" s="214">
        <v>0</v>
      </c>
      <c r="O231" s="214">
        <v>0</v>
      </c>
      <c r="P231" s="183"/>
      <c r="Q231" s="183"/>
    </row>
    <row r="232" spans="1:28">
      <c r="A232" s="263"/>
      <c r="B232" s="145" t="s">
        <v>86</v>
      </c>
      <c r="C232" s="214">
        <v>11766.108</v>
      </c>
      <c r="D232" s="214">
        <v>17232.379000000001</v>
      </c>
      <c r="E232" s="214">
        <v>18121.277999999998</v>
      </c>
      <c r="F232" s="214">
        <v>12513.415000000001</v>
      </c>
      <c r="G232" s="214">
        <v>18925.839</v>
      </c>
      <c r="H232" s="214">
        <v>27726.135999999999</v>
      </c>
      <c r="I232" s="214">
        <v>35845.794000000002</v>
      </c>
      <c r="J232" s="214">
        <v>57108.222000000002</v>
      </c>
      <c r="K232" s="214">
        <v>74394.532000000007</v>
      </c>
      <c r="L232" s="214">
        <v>44510.667000000001</v>
      </c>
      <c r="M232" s="214">
        <v>33083.256999999998</v>
      </c>
      <c r="N232" s="214">
        <v>23626.941999999999</v>
      </c>
      <c r="O232" s="214">
        <v>44275.593999999997</v>
      </c>
      <c r="P232" s="183"/>
      <c r="Q232" s="183"/>
    </row>
    <row r="233" spans="1:28">
      <c r="A233" s="263"/>
      <c r="B233" s="145" t="s">
        <v>87</v>
      </c>
      <c r="C233" s="214">
        <v>299.95</v>
      </c>
      <c r="D233" s="214">
        <v>91.15</v>
      </c>
      <c r="E233" s="214">
        <v>19.725000000000001</v>
      </c>
      <c r="F233" s="214">
        <v>4.05</v>
      </c>
      <c r="G233" s="214">
        <v>33.4</v>
      </c>
      <c r="H233" s="214">
        <v>243</v>
      </c>
      <c r="I233" s="214">
        <v>166.25</v>
      </c>
      <c r="J233" s="214">
        <v>913.05</v>
      </c>
      <c r="K233" s="214">
        <v>447.3</v>
      </c>
      <c r="L233" s="214">
        <v>258.75</v>
      </c>
      <c r="M233" s="214">
        <v>95.025000000000006</v>
      </c>
      <c r="N233" s="214">
        <v>300.3</v>
      </c>
      <c r="O233" s="214">
        <v>851.55</v>
      </c>
      <c r="P233" s="184"/>
      <c r="Q233" s="184"/>
    </row>
    <row r="234" spans="1:28">
      <c r="A234" s="263"/>
      <c r="B234" s="145" t="s">
        <v>84</v>
      </c>
      <c r="C234" s="214">
        <v>19108.924999999999</v>
      </c>
      <c r="D234" s="214">
        <v>28366.325000000001</v>
      </c>
      <c r="E234" s="214">
        <v>32908.824999999997</v>
      </c>
      <c r="F234" s="214">
        <v>13991.525</v>
      </c>
      <c r="G234" s="214">
        <v>16698.8</v>
      </c>
      <c r="H234" s="214">
        <v>23769.14</v>
      </c>
      <c r="I234" s="214">
        <v>22715.875</v>
      </c>
      <c r="J234" s="214">
        <v>23154.973999999998</v>
      </c>
      <c r="K234" s="214">
        <v>27594.224999999999</v>
      </c>
      <c r="L234" s="214">
        <v>16767.825000000001</v>
      </c>
      <c r="M234" s="214">
        <v>8009.9250000000002</v>
      </c>
      <c r="N234" s="214">
        <v>8058.9750000000004</v>
      </c>
      <c r="O234" s="214">
        <v>17383.25</v>
      </c>
      <c r="P234" s="140"/>
      <c r="Q234" s="140"/>
    </row>
    <row r="235" spans="1:28">
      <c r="A235" s="264"/>
      <c r="B235" s="215" t="s">
        <v>0</v>
      </c>
      <c r="C235" s="216">
        <v>216543.41699999999</v>
      </c>
      <c r="D235" s="216">
        <v>189736.11499999999</v>
      </c>
      <c r="E235" s="216">
        <v>228317.10500000001</v>
      </c>
      <c r="F235" s="216">
        <v>163440.02100000001</v>
      </c>
      <c r="G235" s="216">
        <v>231465.83</v>
      </c>
      <c r="H235" s="216">
        <v>281569.96899999998</v>
      </c>
      <c r="I235" s="216">
        <v>243994.47700000001</v>
      </c>
      <c r="J235" s="216">
        <v>303725.022</v>
      </c>
      <c r="K235" s="216">
        <v>259126.52299999999</v>
      </c>
      <c r="L235" s="216">
        <v>187549.62</v>
      </c>
      <c r="M235" s="216">
        <v>133319.60399999999</v>
      </c>
      <c r="N235" s="216">
        <v>156362.80799999999</v>
      </c>
      <c r="O235" s="216">
        <v>232206.36499999999</v>
      </c>
      <c r="P235" s="184">
        <f>O235/C235-1</f>
        <v>7.2331674714452232E-2</v>
      </c>
      <c r="Q235" s="184">
        <f>(O216+O235)/(C235+C216)-1</f>
        <v>7.2325860888583282E-2</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231</v>
      </c>
      <c r="C257" s="195" t="str">
        <f>MID(C259,6,1)</f>
        <v>S</v>
      </c>
      <c r="D257" s="195" t="str">
        <f t="shared" ref="D257:O257" si="8">MID(D259,6,1)</f>
        <v>O</v>
      </c>
      <c r="E257" s="195" t="str">
        <f t="shared" si="8"/>
        <v>N</v>
      </c>
      <c r="F257" s="195" t="str">
        <f t="shared" si="8"/>
        <v>D</v>
      </c>
      <c r="G257" s="195" t="str">
        <f t="shared" si="8"/>
        <v>E</v>
      </c>
      <c r="H257" s="195" t="str">
        <f t="shared" si="8"/>
        <v>F</v>
      </c>
      <c r="I257" s="195" t="str">
        <f t="shared" si="8"/>
        <v>M</v>
      </c>
      <c r="J257" s="195" t="str">
        <f t="shared" si="8"/>
        <v>A</v>
      </c>
      <c r="K257" s="195" t="str">
        <f t="shared" si="8"/>
        <v>M</v>
      </c>
      <c r="L257" s="195" t="str">
        <f t="shared" si="8"/>
        <v>J</v>
      </c>
      <c r="M257" s="195" t="str">
        <f t="shared" si="8"/>
        <v>J</v>
      </c>
      <c r="N257" s="195" t="str">
        <f t="shared" si="8"/>
        <v>A</v>
      </c>
      <c r="O257" s="195" t="str">
        <f t="shared" si="8"/>
        <v>S</v>
      </c>
      <c r="Q257" s="183"/>
    </row>
    <row r="258" spans="1:17">
      <c r="A258" s="143"/>
      <c r="B258" s="143" t="s">
        <v>28</v>
      </c>
      <c r="C258" s="266" t="s">
        <v>227</v>
      </c>
      <c r="D258" s="267"/>
      <c r="E258" s="267"/>
      <c r="F258" s="267"/>
      <c r="G258" s="267"/>
      <c r="H258" s="267"/>
      <c r="I258" s="267"/>
      <c r="J258" s="267"/>
      <c r="K258" s="267"/>
      <c r="L258" s="267"/>
      <c r="M258" s="267"/>
      <c r="N258" s="267"/>
      <c r="O258" s="267"/>
      <c r="Q258" s="183"/>
    </row>
    <row r="259" spans="1:17">
      <c r="A259" s="143"/>
      <c r="B259" s="143" t="s">
        <v>95</v>
      </c>
      <c r="C259" s="249" t="s">
        <v>267</v>
      </c>
      <c r="D259" s="249" t="s">
        <v>270</v>
      </c>
      <c r="E259" s="249" t="s">
        <v>273</v>
      </c>
      <c r="F259" s="249" t="s">
        <v>274</v>
      </c>
      <c r="G259" s="249" t="s">
        <v>276</v>
      </c>
      <c r="H259" s="249" t="s">
        <v>278</v>
      </c>
      <c r="I259" s="249" t="s">
        <v>281</v>
      </c>
      <c r="J259" s="249" t="s">
        <v>285</v>
      </c>
      <c r="K259" s="249" t="s">
        <v>289</v>
      </c>
      <c r="L259" s="249" t="s">
        <v>291</v>
      </c>
      <c r="M259" s="249" t="s">
        <v>293</v>
      </c>
      <c r="N259" s="249" t="s">
        <v>295</v>
      </c>
      <c r="O259" s="249" t="s">
        <v>327</v>
      </c>
      <c r="Q259" s="183"/>
    </row>
    <row r="260" spans="1:17">
      <c r="A260" s="143" t="s">
        <v>128</v>
      </c>
      <c r="B260" s="143" t="s">
        <v>129</v>
      </c>
      <c r="C260" s="170"/>
      <c r="D260" s="170"/>
      <c r="E260" s="170"/>
      <c r="F260" s="170"/>
      <c r="G260" s="170"/>
      <c r="H260" s="170"/>
      <c r="I260" s="170"/>
      <c r="J260" s="170"/>
      <c r="K260" s="170"/>
      <c r="L260" s="170"/>
      <c r="M260" s="170"/>
      <c r="N260" s="170"/>
      <c r="O260" s="170"/>
      <c r="Q260" s="183"/>
    </row>
    <row r="261" spans="1:17">
      <c r="A261" s="262" t="s">
        <v>79</v>
      </c>
      <c r="B261" s="145" t="s">
        <v>90</v>
      </c>
      <c r="C261" s="214">
        <v>0</v>
      </c>
      <c r="D261" s="214">
        <v>0</v>
      </c>
      <c r="E261" s="214">
        <v>0</v>
      </c>
      <c r="F261" s="214">
        <v>0</v>
      </c>
      <c r="G261" s="214">
        <v>0</v>
      </c>
      <c r="H261" s="214">
        <v>0</v>
      </c>
      <c r="I261" s="214">
        <v>0</v>
      </c>
      <c r="J261" s="214">
        <v>0</v>
      </c>
      <c r="K261" s="214">
        <v>0</v>
      </c>
      <c r="L261" s="214">
        <v>0</v>
      </c>
      <c r="M261" s="214">
        <v>0</v>
      </c>
      <c r="N261" s="214">
        <v>0</v>
      </c>
      <c r="O261" s="214">
        <v>0</v>
      </c>
      <c r="Q261" s="183"/>
    </row>
    <row r="262" spans="1:17">
      <c r="A262" s="263"/>
      <c r="B262" s="145" t="s">
        <v>81</v>
      </c>
      <c r="C262" s="214">
        <v>242.5</v>
      </c>
      <c r="D262" s="214">
        <v>4030.7</v>
      </c>
      <c r="E262" s="214">
        <v>242.3</v>
      </c>
      <c r="F262" s="214">
        <v>125</v>
      </c>
      <c r="G262" s="214">
        <v>460</v>
      </c>
      <c r="H262" s="214">
        <v>20</v>
      </c>
      <c r="I262" s="214">
        <v>0</v>
      </c>
      <c r="J262" s="214">
        <v>0</v>
      </c>
      <c r="K262" s="214">
        <v>0</v>
      </c>
      <c r="L262" s="214">
        <v>8.25</v>
      </c>
      <c r="M262" s="214">
        <v>0</v>
      </c>
      <c r="N262" s="214">
        <v>0</v>
      </c>
      <c r="O262" s="214">
        <v>127.5</v>
      </c>
      <c r="Q262" s="183"/>
    </row>
    <row r="263" spans="1:17">
      <c r="A263" s="263"/>
      <c r="B263" s="145" t="s">
        <v>24</v>
      </c>
      <c r="C263" s="214">
        <v>105492.6</v>
      </c>
      <c r="D263" s="214">
        <v>112340.22500000001</v>
      </c>
      <c r="E263" s="214">
        <v>76778.675000000003</v>
      </c>
      <c r="F263" s="214">
        <v>130542.65</v>
      </c>
      <c r="G263" s="214">
        <v>124757.625</v>
      </c>
      <c r="H263" s="214">
        <v>52851.55</v>
      </c>
      <c r="I263" s="214">
        <v>20211.7</v>
      </c>
      <c r="J263" s="214">
        <v>21810.125</v>
      </c>
      <c r="K263" s="214">
        <v>32926.224999999999</v>
      </c>
      <c r="L263" s="214">
        <v>64006.1</v>
      </c>
      <c r="M263" s="214">
        <v>163340.42499999999</v>
      </c>
      <c r="N263" s="214">
        <v>165694.04999999999</v>
      </c>
      <c r="O263" s="214">
        <v>125756.45</v>
      </c>
      <c r="P263" s="183"/>
      <c r="Q263" s="183"/>
    </row>
    <row r="264" spans="1:17">
      <c r="A264" s="263"/>
      <c r="B264" s="145" t="s">
        <v>88</v>
      </c>
      <c r="C264" s="214">
        <v>2.25</v>
      </c>
      <c r="D264" s="214">
        <v>164.75</v>
      </c>
      <c r="E264" s="214">
        <v>2</v>
      </c>
      <c r="F264" s="214">
        <v>20.625</v>
      </c>
      <c r="G264" s="214">
        <v>36.5</v>
      </c>
      <c r="H264" s="214">
        <v>0</v>
      </c>
      <c r="I264" s="214">
        <v>16</v>
      </c>
      <c r="J264" s="214">
        <v>30.5</v>
      </c>
      <c r="K264" s="214">
        <v>8.25</v>
      </c>
      <c r="L264" s="214">
        <v>103.2</v>
      </c>
      <c r="M264" s="214">
        <v>13.175000000000001</v>
      </c>
      <c r="N264" s="214">
        <v>45.65</v>
      </c>
      <c r="O264" s="214">
        <v>14.25</v>
      </c>
      <c r="P264" s="183"/>
      <c r="Q264" s="183"/>
    </row>
    <row r="265" spans="1:17">
      <c r="A265" s="263"/>
      <c r="B265" s="145" t="s">
        <v>82</v>
      </c>
      <c r="C265" s="214">
        <v>7781</v>
      </c>
      <c r="D265" s="214">
        <v>13063.5</v>
      </c>
      <c r="E265" s="214">
        <v>14633.45</v>
      </c>
      <c r="F265" s="214">
        <v>21631.25</v>
      </c>
      <c r="G265" s="214">
        <v>10274.75</v>
      </c>
      <c r="H265" s="214">
        <v>13379.5</v>
      </c>
      <c r="I265" s="214">
        <v>15172.75</v>
      </c>
      <c r="J265" s="214">
        <v>7407.5</v>
      </c>
      <c r="K265" s="214">
        <v>9859.75</v>
      </c>
      <c r="L265" s="214">
        <v>17882.150000000001</v>
      </c>
      <c r="M265" s="214">
        <v>15875.5</v>
      </c>
      <c r="N265" s="214">
        <v>8039.05</v>
      </c>
      <c r="O265" s="214">
        <v>7439.25</v>
      </c>
      <c r="P265" s="183"/>
      <c r="Q265" s="183"/>
    </row>
    <row r="266" spans="1:17">
      <c r="A266" s="263"/>
      <c r="B266" s="145" t="s">
        <v>91</v>
      </c>
      <c r="C266" s="214">
        <v>0</v>
      </c>
      <c r="D266" s="214">
        <v>0</v>
      </c>
      <c r="E266" s="214">
        <v>0</v>
      </c>
      <c r="F266" s="214">
        <v>0</v>
      </c>
      <c r="G266" s="214">
        <v>0</v>
      </c>
      <c r="H266" s="214">
        <v>0</v>
      </c>
      <c r="I266" s="214">
        <v>0</v>
      </c>
      <c r="J266" s="214">
        <v>0</v>
      </c>
      <c r="K266" s="214">
        <v>0</v>
      </c>
      <c r="L266" s="214">
        <v>0</v>
      </c>
      <c r="M266" s="214">
        <v>0</v>
      </c>
      <c r="N266" s="214">
        <v>0</v>
      </c>
      <c r="O266" s="214">
        <v>0</v>
      </c>
      <c r="P266" s="184"/>
      <c r="Q266" s="183"/>
    </row>
    <row r="267" spans="1:17">
      <c r="A267" s="263"/>
      <c r="B267" s="145" t="s">
        <v>85</v>
      </c>
      <c r="C267" s="214">
        <v>9960.15</v>
      </c>
      <c r="D267" s="214">
        <v>17178.525000000001</v>
      </c>
      <c r="E267" s="214">
        <v>18267.525000000001</v>
      </c>
      <c r="F267" s="214">
        <v>22334.375</v>
      </c>
      <c r="G267" s="214">
        <v>14486.075000000001</v>
      </c>
      <c r="H267" s="214">
        <v>25612.974999999999</v>
      </c>
      <c r="I267" s="214">
        <v>79915.274999999994</v>
      </c>
      <c r="J267" s="214">
        <v>29149.474999999999</v>
      </c>
      <c r="K267" s="214">
        <v>13277.424999999999</v>
      </c>
      <c r="L267" s="214">
        <v>17743.05</v>
      </c>
      <c r="M267" s="214">
        <v>20474.400000000001</v>
      </c>
      <c r="N267" s="214">
        <v>12857.125</v>
      </c>
      <c r="O267" s="214">
        <v>10297.075000000001</v>
      </c>
      <c r="P267" s="183"/>
      <c r="Q267" s="183"/>
    </row>
    <row r="268" spans="1:17">
      <c r="A268" s="263"/>
      <c r="B268" s="145" t="s">
        <v>92</v>
      </c>
      <c r="C268" s="214">
        <v>0</v>
      </c>
      <c r="D268" s="214">
        <v>0</v>
      </c>
      <c r="E268" s="214">
        <v>0</v>
      </c>
      <c r="F268" s="214">
        <v>0</v>
      </c>
      <c r="G268" s="214">
        <v>0</v>
      </c>
      <c r="H268" s="214">
        <v>0</v>
      </c>
      <c r="I268" s="214">
        <v>0</v>
      </c>
      <c r="J268" s="214">
        <v>0</v>
      </c>
      <c r="K268" s="214">
        <v>0</v>
      </c>
      <c r="L268" s="214">
        <v>0</v>
      </c>
      <c r="M268" s="214">
        <v>0</v>
      </c>
      <c r="N268" s="214">
        <v>0</v>
      </c>
      <c r="O268" s="214">
        <v>0</v>
      </c>
      <c r="P268" s="183"/>
      <c r="Q268" s="183"/>
    </row>
    <row r="269" spans="1:17">
      <c r="A269" s="263"/>
      <c r="B269" s="145" t="s">
        <v>287</v>
      </c>
      <c r="C269" s="214">
        <v>0</v>
      </c>
      <c r="D269" s="214">
        <v>0</v>
      </c>
      <c r="E269" s="214">
        <v>0</v>
      </c>
      <c r="F269" s="214">
        <v>0</v>
      </c>
      <c r="G269" s="214">
        <v>0</v>
      </c>
      <c r="H269" s="214">
        <v>0</v>
      </c>
      <c r="I269" s="214">
        <v>0</v>
      </c>
      <c r="J269" s="214">
        <v>0</v>
      </c>
      <c r="K269" s="214">
        <v>0</v>
      </c>
      <c r="L269" s="214">
        <v>0</v>
      </c>
      <c r="M269" s="214">
        <v>0</v>
      </c>
      <c r="N269" s="214">
        <v>0</v>
      </c>
      <c r="O269" s="214">
        <v>0</v>
      </c>
      <c r="P269" s="183"/>
      <c r="Q269" s="183"/>
    </row>
    <row r="270" spans="1:17">
      <c r="A270" s="263"/>
      <c r="B270" s="145" t="s">
        <v>20</v>
      </c>
      <c r="C270" s="214">
        <v>9303.9</v>
      </c>
      <c r="D270" s="214">
        <v>29288.974999999999</v>
      </c>
      <c r="E270" s="214">
        <v>15599.125</v>
      </c>
      <c r="F270" s="214">
        <v>55213.974999999999</v>
      </c>
      <c r="G270" s="214">
        <v>21436.375</v>
      </c>
      <c r="H270" s="214">
        <v>22889.05</v>
      </c>
      <c r="I270" s="214">
        <v>21242.6</v>
      </c>
      <c r="J270" s="214">
        <v>29669.674999999999</v>
      </c>
      <c r="K270" s="214">
        <v>27349.875</v>
      </c>
      <c r="L270" s="214">
        <v>34456.25</v>
      </c>
      <c r="M270" s="214">
        <v>28817.424999999999</v>
      </c>
      <c r="N270" s="214">
        <v>18607.349999999999</v>
      </c>
      <c r="O270" s="214">
        <v>15957.25</v>
      </c>
      <c r="P270" s="183"/>
      <c r="Q270" s="183"/>
    </row>
    <row r="271" spans="1:17">
      <c r="A271" s="263"/>
      <c r="B271" s="145" t="s">
        <v>226</v>
      </c>
      <c r="C271" s="214">
        <v>0</v>
      </c>
      <c r="D271" s="214">
        <v>0</v>
      </c>
      <c r="E271" s="214">
        <v>0</v>
      </c>
      <c r="F271" s="214">
        <v>0</v>
      </c>
      <c r="G271" s="214">
        <v>0</v>
      </c>
      <c r="H271" s="214">
        <v>0</v>
      </c>
      <c r="I271" s="214">
        <v>0</v>
      </c>
      <c r="J271" s="214">
        <v>0</v>
      </c>
      <c r="K271" s="214">
        <v>0</v>
      </c>
      <c r="L271" s="214">
        <v>0</v>
      </c>
      <c r="M271" s="214">
        <v>0</v>
      </c>
      <c r="N271" s="214">
        <v>0</v>
      </c>
      <c r="O271" s="214">
        <v>0</v>
      </c>
      <c r="P271" s="183"/>
      <c r="Q271" s="183"/>
    </row>
    <row r="272" spans="1:17">
      <c r="A272" s="263"/>
      <c r="B272" s="145" t="s">
        <v>93</v>
      </c>
      <c r="C272" s="214">
        <v>0</v>
      </c>
      <c r="D272" s="214">
        <v>0</v>
      </c>
      <c r="E272" s="214">
        <v>0</v>
      </c>
      <c r="F272" s="214">
        <v>0</v>
      </c>
      <c r="G272" s="214">
        <v>0</v>
      </c>
      <c r="H272" s="214">
        <v>0</v>
      </c>
      <c r="I272" s="214">
        <v>0</v>
      </c>
      <c r="J272" s="214">
        <v>0</v>
      </c>
      <c r="K272" s="214">
        <v>0</v>
      </c>
      <c r="L272" s="214">
        <v>0</v>
      </c>
      <c r="M272" s="214">
        <v>0</v>
      </c>
      <c r="N272" s="214">
        <v>0</v>
      </c>
      <c r="O272" s="214">
        <v>0</v>
      </c>
      <c r="P272" s="183"/>
      <c r="Q272" s="183"/>
    </row>
    <row r="273" spans="1:18">
      <c r="A273" s="263"/>
      <c r="B273" s="145" t="s">
        <v>80</v>
      </c>
      <c r="C273" s="214">
        <v>1998.5</v>
      </c>
      <c r="D273" s="214">
        <v>1045.75</v>
      </c>
      <c r="E273" s="214">
        <v>750.42499999999995</v>
      </c>
      <c r="F273" s="214">
        <v>18.75</v>
      </c>
      <c r="G273" s="214">
        <v>74.75</v>
      </c>
      <c r="H273" s="214">
        <v>494</v>
      </c>
      <c r="I273" s="214">
        <v>605.375</v>
      </c>
      <c r="J273" s="214">
        <v>24.5</v>
      </c>
      <c r="K273" s="214">
        <v>201.3</v>
      </c>
      <c r="L273" s="214">
        <v>1.325</v>
      </c>
      <c r="M273" s="214">
        <v>238.82499999999999</v>
      </c>
      <c r="N273" s="214">
        <v>342</v>
      </c>
      <c r="O273" s="214">
        <v>0</v>
      </c>
      <c r="P273" s="183"/>
      <c r="Q273" s="183"/>
    </row>
    <row r="274" spans="1:18">
      <c r="A274" s="263"/>
      <c r="B274" s="145" t="s">
        <v>89</v>
      </c>
      <c r="C274" s="214">
        <v>2</v>
      </c>
      <c r="D274" s="214">
        <v>0</v>
      </c>
      <c r="E274" s="214">
        <v>0</v>
      </c>
      <c r="F274" s="214">
        <v>0</v>
      </c>
      <c r="G274" s="214">
        <v>24</v>
      </c>
      <c r="H274" s="214">
        <v>7</v>
      </c>
      <c r="I274" s="214">
        <v>3</v>
      </c>
      <c r="J274" s="214">
        <v>30</v>
      </c>
      <c r="K274" s="214">
        <v>9</v>
      </c>
      <c r="L274" s="214">
        <v>6</v>
      </c>
      <c r="M274" s="214">
        <v>13</v>
      </c>
      <c r="N274" s="214">
        <v>0</v>
      </c>
      <c r="O274" s="214">
        <v>2</v>
      </c>
      <c r="P274" s="183"/>
      <c r="Q274" s="183"/>
    </row>
    <row r="275" spans="1:18">
      <c r="A275" s="263"/>
      <c r="B275" s="145" t="s">
        <v>94</v>
      </c>
      <c r="C275" s="214">
        <v>0</v>
      </c>
      <c r="D275" s="214">
        <v>0</v>
      </c>
      <c r="E275" s="214">
        <v>0</v>
      </c>
      <c r="F275" s="214">
        <v>0</v>
      </c>
      <c r="G275" s="214">
        <v>0</v>
      </c>
      <c r="H275" s="214">
        <v>0</v>
      </c>
      <c r="I275" s="214">
        <v>0</v>
      </c>
      <c r="J275" s="214">
        <v>0</v>
      </c>
      <c r="K275" s="214">
        <v>0</v>
      </c>
      <c r="L275" s="214">
        <v>0</v>
      </c>
      <c r="M275" s="214">
        <v>0</v>
      </c>
      <c r="N275" s="214">
        <v>0</v>
      </c>
      <c r="O275" s="214">
        <v>0</v>
      </c>
      <c r="P275" s="183"/>
      <c r="Q275" s="183"/>
    </row>
    <row r="276" spans="1:18">
      <c r="A276" s="263"/>
      <c r="B276" s="145" t="s">
        <v>86</v>
      </c>
      <c r="C276" s="214">
        <v>5033.1000000000004</v>
      </c>
      <c r="D276" s="214">
        <v>3984.7249999999999</v>
      </c>
      <c r="E276" s="214">
        <v>2214.4499999999998</v>
      </c>
      <c r="F276" s="214">
        <v>4181.5749999999998</v>
      </c>
      <c r="G276" s="214">
        <v>2324.9250000000002</v>
      </c>
      <c r="H276" s="214">
        <v>2443.4</v>
      </c>
      <c r="I276" s="214">
        <v>7915.4750000000004</v>
      </c>
      <c r="J276" s="214">
        <v>6025.9750000000004</v>
      </c>
      <c r="K276" s="214">
        <v>2653.85</v>
      </c>
      <c r="L276" s="214">
        <v>4092.125</v>
      </c>
      <c r="M276" s="214">
        <v>7436.6</v>
      </c>
      <c r="N276" s="214">
        <v>5419.0249999999996</v>
      </c>
      <c r="O276" s="214">
        <v>3986.1750000000002</v>
      </c>
      <c r="P276" s="183"/>
      <c r="Q276" s="183"/>
    </row>
    <row r="277" spans="1:18">
      <c r="A277" s="263"/>
      <c r="B277" s="145" t="s">
        <v>87</v>
      </c>
      <c r="C277" s="214">
        <v>0</v>
      </c>
      <c r="D277" s="214">
        <v>0</v>
      </c>
      <c r="E277" s="214">
        <v>2</v>
      </c>
      <c r="F277" s="214">
        <v>0</v>
      </c>
      <c r="G277" s="214">
        <v>0</v>
      </c>
      <c r="H277" s="214">
        <v>0</v>
      </c>
      <c r="I277" s="214">
        <v>0</v>
      </c>
      <c r="J277" s="214">
        <v>0</v>
      </c>
      <c r="K277" s="214">
        <v>36.25</v>
      </c>
      <c r="L277" s="214">
        <v>1</v>
      </c>
      <c r="M277" s="214">
        <v>0</v>
      </c>
      <c r="N277" s="214">
        <v>129</v>
      </c>
      <c r="O277" s="214">
        <v>100.75</v>
      </c>
      <c r="P277" s="183"/>
      <c r="Q277" s="183"/>
    </row>
    <row r="278" spans="1:18">
      <c r="A278" s="263"/>
      <c r="B278" s="145" t="s">
        <v>84</v>
      </c>
      <c r="C278" s="214">
        <v>21057.1</v>
      </c>
      <c r="D278" s="214">
        <v>25044.625</v>
      </c>
      <c r="E278" s="214">
        <v>19792.325000000001</v>
      </c>
      <c r="F278" s="214">
        <v>24356.724999999999</v>
      </c>
      <c r="G278" s="214">
        <v>33204.949999999997</v>
      </c>
      <c r="H278" s="214">
        <v>14792.95</v>
      </c>
      <c r="I278" s="214">
        <v>21120.174999999999</v>
      </c>
      <c r="J278" s="214">
        <v>20281.5</v>
      </c>
      <c r="K278" s="214">
        <v>40992.875</v>
      </c>
      <c r="L278" s="214">
        <v>19780.849999999999</v>
      </c>
      <c r="M278" s="214">
        <v>24586.275000000001</v>
      </c>
      <c r="N278" s="214">
        <v>12669</v>
      </c>
      <c r="O278" s="214">
        <v>25155.45</v>
      </c>
      <c r="P278" s="184"/>
      <c r="Q278" s="184"/>
    </row>
    <row r="279" spans="1:18">
      <c r="A279" s="264"/>
      <c r="B279" s="215" t="s">
        <v>0</v>
      </c>
      <c r="C279" s="216">
        <v>160873.1</v>
      </c>
      <c r="D279" s="216">
        <v>206141.77499999999</v>
      </c>
      <c r="E279" s="216">
        <v>148282.27499999999</v>
      </c>
      <c r="F279" s="216">
        <v>258424.92499999999</v>
      </c>
      <c r="G279" s="216">
        <v>207079.95</v>
      </c>
      <c r="H279" s="216">
        <v>132490.42499999999</v>
      </c>
      <c r="I279" s="216">
        <v>166202.35</v>
      </c>
      <c r="J279" s="216">
        <v>114429.25</v>
      </c>
      <c r="K279" s="216">
        <v>127314.8</v>
      </c>
      <c r="L279" s="216">
        <v>158080.29999999999</v>
      </c>
      <c r="M279" s="216">
        <v>260795.625</v>
      </c>
      <c r="N279" s="216">
        <v>223802.25</v>
      </c>
      <c r="O279" s="216">
        <v>188836.15</v>
      </c>
      <c r="P279" s="184">
        <f>O279/C279-1</f>
        <v>0.17382054551071624</v>
      </c>
      <c r="Q279" s="184"/>
    </row>
    <row r="280" spans="1:18">
      <c r="A280" s="265" t="s">
        <v>83</v>
      </c>
      <c r="B280" s="145" t="s">
        <v>90</v>
      </c>
      <c r="C280" s="214">
        <v>0</v>
      </c>
      <c r="D280" s="214">
        <v>0</v>
      </c>
      <c r="E280" s="214">
        <v>0</v>
      </c>
      <c r="F280" s="214">
        <v>0</v>
      </c>
      <c r="G280" s="214">
        <v>0</v>
      </c>
      <c r="H280" s="214">
        <v>0</v>
      </c>
      <c r="I280" s="214">
        <v>0</v>
      </c>
      <c r="J280" s="214">
        <v>0</v>
      </c>
      <c r="K280" s="214">
        <v>0</v>
      </c>
      <c r="L280" s="214">
        <v>0</v>
      </c>
      <c r="M280" s="214">
        <v>0</v>
      </c>
      <c r="N280" s="214">
        <v>0</v>
      </c>
      <c r="O280" s="214">
        <v>0</v>
      </c>
    </row>
    <row r="281" spans="1:18">
      <c r="A281" s="263"/>
      <c r="B281" s="145" t="s">
        <v>81</v>
      </c>
      <c r="C281" s="214">
        <v>1320</v>
      </c>
      <c r="D281" s="214">
        <v>1091.5999999999999</v>
      </c>
      <c r="E281" s="214">
        <v>2086.9</v>
      </c>
      <c r="F281" s="214">
        <v>494</v>
      </c>
      <c r="G281" s="214">
        <v>948.3</v>
      </c>
      <c r="H281" s="214">
        <v>134</v>
      </c>
      <c r="I281" s="214">
        <v>42</v>
      </c>
      <c r="J281" s="214">
        <v>26.25</v>
      </c>
      <c r="K281" s="214">
        <v>0</v>
      </c>
      <c r="L281" s="214">
        <v>41.5</v>
      </c>
      <c r="M281" s="214">
        <v>412.6</v>
      </c>
      <c r="N281" s="214">
        <v>381</v>
      </c>
      <c r="O281" s="214">
        <v>406</v>
      </c>
    </row>
    <row r="282" spans="1:18">
      <c r="A282" s="263"/>
      <c r="B282" s="145" t="s">
        <v>24</v>
      </c>
      <c r="C282" s="214">
        <v>26201.875</v>
      </c>
      <c r="D282" s="214">
        <v>16369.1</v>
      </c>
      <c r="E282" s="214">
        <v>15113</v>
      </c>
      <c r="F282" s="214">
        <v>17543.650000000001</v>
      </c>
      <c r="G282" s="214">
        <v>36176.574999999997</v>
      </c>
      <c r="H282" s="214">
        <v>13518.35</v>
      </c>
      <c r="I282" s="214">
        <v>16244.174999999999</v>
      </c>
      <c r="J282" s="214">
        <v>6901.2250000000004</v>
      </c>
      <c r="K282" s="214">
        <v>6791.0749999999998</v>
      </c>
      <c r="L282" s="214">
        <v>13289.825000000001</v>
      </c>
      <c r="M282" s="214">
        <v>16226.75</v>
      </c>
      <c r="N282" s="214">
        <v>19143.775000000001</v>
      </c>
      <c r="O282" s="214">
        <v>23707.275000000001</v>
      </c>
      <c r="P282" s="192"/>
      <c r="Q282" s="192"/>
      <c r="R282" s="192"/>
    </row>
    <row r="283" spans="1:18">
      <c r="A283" s="263"/>
      <c r="B283" s="145" t="s">
        <v>88</v>
      </c>
      <c r="C283" s="214">
        <v>114.97499999999999</v>
      </c>
      <c r="D283" s="214">
        <v>103.875</v>
      </c>
      <c r="E283" s="214">
        <v>225.75</v>
      </c>
      <c r="F283" s="214">
        <v>436.35</v>
      </c>
      <c r="G283" s="214">
        <v>388.92500000000001</v>
      </c>
      <c r="H283" s="214">
        <v>410.17500000000001</v>
      </c>
      <c r="I283" s="214">
        <v>626.47500000000002</v>
      </c>
      <c r="J283" s="214">
        <v>35.6</v>
      </c>
      <c r="K283" s="214">
        <v>60.15</v>
      </c>
      <c r="L283" s="214">
        <v>142.65</v>
      </c>
      <c r="M283" s="214">
        <v>350.52499999999998</v>
      </c>
      <c r="N283" s="214">
        <v>574.29999999999995</v>
      </c>
      <c r="O283" s="214">
        <v>336.55</v>
      </c>
      <c r="P283" s="192"/>
      <c r="Q283" s="192"/>
      <c r="R283" s="192"/>
    </row>
    <row r="284" spans="1:18">
      <c r="A284" s="263"/>
      <c r="B284" s="145" t="s">
        <v>82</v>
      </c>
      <c r="C284" s="214">
        <v>52169.95</v>
      </c>
      <c r="D284" s="214">
        <v>39371.699999999997</v>
      </c>
      <c r="E284" s="214">
        <v>49033.5</v>
      </c>
      <c r="F284" s="214">
        <v>44328</v>
      </c>
      <c r="G284" s="214">
        <v>84350</v>
      </c>
      <c r="H284" s="214">
        <v>81179.25</v>
      </c>
      <c r="I284" s="214">
        <v>71805.25</v>
      </c>
      <c r="J284" s="214">
        <v>89298.5</v>
      </c>
      <c r="K284" s="214">
        <v>45527.15</v>
      </c>
      <c r="L284" s="214">
        <v>45937.275000000001</v>
      </c>
      <c r="M284" s="214">
        <v>43872.800000000003</v>
      </c>
      <c r="N284" s="214">
        <v>85489</v>
      </c>
      <c r="O284" s="214">
        <v>57096.4</v>
      </c>
      <c r="P284" s="192"/>
      <c r="Q284" s="192"/>
      <c r="R284" s="192"/>
    </row>
    <row r="285" spans="1:18">
      <c r="A285" s="263"/>
      <c r="B285" s="145" t="s">
        <v>91</v>
      </c>
      <c r="C285" s="214">
        <v>0</v>
      </c>
      <c r="D285" s="214">
        <v>0</v>
      </c>
      <c r="E285" s="214">
        <v>0</v>
      </c>
      <c r="F285" s="214">
        <v>0</v>
      </c>
      <c r="G285" s="214">
        <v>0</v>
      </c>
      <c r="H285" s="214">
        <v>0</v>
      </c>
      <c r="I285" s="214">
        <v>0</v>
      </c>
      <c r="J285" s="214">
        <v>0</v>
      </c>
      <c r="K285" s="214">
        <v>0</v>
      </c>
      <c r="L285" s="214">
        <v>0</v>
      </c>
      <c r="M285" s="214">
        <v>0</v>
      </c>
      <c r="N285" s="214">
        <v>0</v>
      </c>
      <c r="O285" s="214">
        <v>0</v>
      </c>
      <c r="P285" s="192"/>
      <c r="Q285" s="192"/>
      <c r="R285" s="192"/>
    </row>
    <row r="286" spans="1:18">
      <c r="A286" s="263"/>
      <c r="B286" s="145" t="s">
        <v>85</v>
      </c>
      <c r="C286" s="214">
        <v>62410.574999999997</v>
      </c>
      <c r="D286" s="214">
        <v>65624.175000000003</v>
      </c>
      <c r="E286" s="214">
        <v>83287.225000000006</v>
      </c>
      <c r="F286" s="214">
        <v>51868</v>
      </c>
      <c r="G286" s="214">
        <v>90254.85</v>
      </c>
      <c r="H286" s="214">
        <v>121318.77499999999</v>
      </c>
      <c r="I286" s="214">
        <v>135496.625</v>
      </c>
      <c r="J286" s="214">
        <v>230270.27499999999</v>
      </c>
      <c r="K286" s="214">
        <v>120354.125</v>
      </c>
      <c r="L286" s="214">
        <v>92592.25</v>
      </c>
      <c r="M286" s="214">
        <v>91542.55</v>
      </c>
      <c r="N286" s="214">
        <v>130294.325</v>
      </c>
      <c r="O286" s="214">
        <v>162821.57500000001</v>
      </c>
      <c r="P286" s="192"/>
      <c r="Q286" s="192"/>
      <c r="R286" s="192"/>
    </row>
    <row r="287" spans="1:18">
      <c r="A287" s="263"/>
      <c r="B287" s="145" t="s">
        <v>92</v>
      </c>
      <c r="C287" s="214">
        <v>0</v>
      </c>
      <c r="D287" s="214">
        <v>0</v>
      </c>
      <c r="E287" s="214">
        <v>0</v>
      </c>
      <c r="F287" s="214">
        <v>0</v>
      </c>
      <c r="G287" s="214">
        <v>0</v>
      </c>
      <c r="H287" s="214">
        <v>0</v>
      </c>
      <c r="I287" s="214">
        <v>0</v>
      </c>
      <c r="J287" s="214">
        <v>0</v>
      </c>
      <c r="K287" s="214">
        <v>0</v>
      </c>
      <c r="L287" s="214">
        <v>0</v>
      </c>
      <c r="M287" s="214">
        <v>0</v>
      </c>
      <c r="N287" s="214">
        <v>0</v>
      </c>
      <c r="O287" s="214">
        <v>0</v>
      </c>
      <c r="P287" s="192"/>
      <c r="Q287" s="192"/>
      <c r="R287" s="192"/>
    </row>
    <row r="288" spans="1:18">
      <c r="A288" s="263"/>
      <c r="B288" s="145" t="s">
        <v>287</v>
      </c>
      <c r="C288" s="214">
        <v>0</v>
      </c>
      <c r="D288" s="214">
        <v>0</v>
      </c>
      <c r="E288" s="214">
        <v>0</v>
      </c>
      <c r="F288" s="214">
        <v>0</v>
      </c>
      <c r="G288" s="214">
        <v>0</v>
      </c>
      <c r="H288" s="214">
        <v>0</v>
      </c>
      <c r="I288" s="214">
        <v>0</v>
      </c>
      <c r="J288" s="214">
        <v>0</v>
      </c>
      <c r="K288" s="214">
        <v>0</v>
      </c>
      <c r="L288" s="214">
        <v>0</v>
      </c>
      <c r="M288" s="214">
        <v>0</v>
      </c>
      <c r="N288" s="214">
        <v>0</v>
      </c>
      <c r="O288" s="214">
        <v>0</v>
      </c>
      <c r="P288" s="192"/>
      <c r="Q288" s="192"/>
      <c r="R288" s="192"/>
    </row>
    <row r="289" spans="1:18">
      <c r="A289" s="263"/>
      <c r="B289" s="145" t="s">
        <v>20</v>
      </c>
      <c r="C289" s="214">
        <v>19581.95</v>
      </c>
      <c r="D289" s="214">
        <v>15878.2</v>
      </c>
      <c r="E289" s="214">
        <v>31392.5</v>
      </c>
      <c r="F289" s="214">
        <v>33738.425000000003</v>
      </c>
      <c r="G289" s="214">
        <v>35013.025000000001</v>
      </c>
      <c r="H289" s="214">
        <v>54346.8</v>
      </c>
      <c r="I289" s="214">
        <v>56838.45</v>
      </c>
      <c r="J289" s="214">
        <v>58545.275000000001</v>
      </c>
      <c r="K289" s="214">
        <v>22738.424999999999</v>
      </c>
      <c r="L289" s="214">
        <v>25203.9</v>
      </c>
      <c r="M289" s="214">
        <v>22661.65</v>
      </c>
      <c r="N289" s="214">
        <v>24531.674999999999</v>
      </c>
      <c r="O289" s="214">
        <v>29122.674999999999</v>
      </c>
      <c r="P289" s="192"/>
      <c r="Q289" s="192"/>
      <c r="R289" s="192"/>
    </row>
    <row r="290" spans="1:18">
      <c r="A290" s="263"/>
      <c r="B290" s="145" t="s">
        <v>226</v>
      </c>
      <c r="C290" s="214">
        <v>0</v>
      </c>
      <c r="D290" s="214">
        <v>0</v>
      </c>
      <c r="E290" s="214">
        <v>0</v>
      </c>
      <c r="F290" s="214">
        <v>0</v>
      </c>
      <c r="G290" s="214">
        <v>0</v>
      </c>
      <c r="H290" s="214">
        <v>0</v>
      </c>
      <c r="I290" s="214">
        <v>0</v>
      </c>
      <c r="J290" s="214">
        <v>0</v>
      </c>
      <c r="K290" s="214">
        <v>0</v>
      </c>
      <c r="L290" s="214">
        <v>0</v>
      </c>
      <c r="M290" s="214">
        <v>0</v>
      </c>
      <c r="N290" s="214">
        <v>0</v>
      </c>
      <c r="O290" s="214">
        <v>0</v>
      </c>
      <c r="P290" s="192"/>
      <c r="Q290" s="192"/>
      <c r="R290" s="192"/>
    </row>
    <row r="291" spans="1:18">
      <c r="A291" s="263"/>
      <c r="B291" s="145" t="s">
        <v>93</v>
      </c>
      <c r="C291" s="214">
        <v>0</v>
      </c>
      <c r="D291" s="214">
        <v>0</v>
      </c>
      <c r="E291" s="214">
        <v>0</v>
      </c>
      <c r="F291" s="214">
        <v>0</v>
      </c>
      <c r="G291" s="214">
        <v>0</v>
      </c>
      <c r="H291" s="214">
        <v>0</v>
      </c>
      <c r="I291" s="214">
        <v>0</v>
      </c>
      <c r="J291" s="214">
        <v>0</v>
      </c>
      <c r="K291" s="214">
        <v>0</v>
      </c>
      <c r="L291" s="214">
        <v>0</v>
      </c>
      <c r="M291" s="214">
        <v>0</v>
      </c>
      <c r="N291" s="214">
        <v>0</v>
      </c>
      <c r="O291" s="214">
        <v>0</v>
      </c>
      <c r="P291" s="192"/>
      <c r="Q291" s="192"/>
      <c r="R291" s="192"/>
    </row>
    <row r="292" spans="1:18">
      <c r="A292" s="263"/>
      <c r="B292" s="145" t="s">
        <v>80</v>
      </c>
      <c r="C292" s="214">
        <v>749.72500000000002</v>
      </c>
      <c r="D292" s="214">
        <v>732.15</v>
      </c>
      <c r="E292" s="214">
        <v>350.375</v>
      </c>
      <c r="F292" s="214">
        <v>24</v>
      </c>
      <c r="G292" s="214">
        <v>218</v>
      </c>
      <c r="H292" s="214">
        <v>1231.425</v>
      </c>
      <c r="I292" s="214">
        <v>851.5</v>
      </c>
      <c r="J292" s="214">
        <v>264.10000000000002</v>
      </c>
      <c r="K292" s="214">
        <v>495.25</v>
      </c>
      <c r="L292" s="214">
        <v>140</v>
      </c>
      <c r="M292" s="214">
        <v>787.42499999999995</v>
      </c>
      <c r="N292" s="214">
        <v>137</v>
      </c>
      <c r="O292" s="214">
        <v>120</v>
      </c>
      <c r="P292" s="192"/>
      <c r="Q292" s="192"/>
      <c r="R292" s="192"/>
    </row>
    <row r="293" spans="1:18">
      <c r="A293" s="263"/>
      <c r="B293" s="145" t="s">
        <v>89</v>
      </c>
      <c r="C293" s="214">
        <v>79.5</v>
      </c>
      <c r="D293" s="214">
        <v>7.75</v>
      </c>
      <c r="E293" s="214">
        <v>84.5</v>
      </c>
      <c r="F293" s="214">
        <v>178.25</v>
      </c>
      <c r="G293" s="214">
        <v>283.75</v>
      </c>
      <c r="H293" s="214">
        <v>148</v>
      </c>
      <c r="I293" s="214">
        <v>8</v>
      </c>
      <c r="J293" s="214">
        <v>70.75</v>
      </c>
      <c r="K293" s="214">
        <v>177.25</v>
      </c>
      <c r="L293" s="214">
        <v>47.75</v>
      </c>
      <c r="M293" s="214">
        <v>81.75</v>
      </c>
      <c r="N293" s="214">
        <v>152.5</v>
      </c>
      <c r="O293" s="214">
        <v>335.75</v>
      </c>
      <c r="P293" s="192"/>
      <c r="Q293" s="192"/>
      <c r="R293" s="192"/>
    </row>
    <row r="294" spans="1:18">
      <c r="A294" s="263"/>
      <c r="B294" s="145" t="s">
        <v>94</v>
      </c>
      <c r="C294" s="214">
        <v>0</v>
      </c>
      <c r="D294" s="214">
        <v>0</v>
      </c>
      <c r="E294" s="214">
        <v>0</v>
      </c>
      <c r="F294" s="214">
        <v>0</v>
      </c>
      <c r="G294" s="214">
        <v>0</v>
      </c>
      <c r="H294" s="214">
        <v>0</v>
      </c>
      <c r="I294" s="214">
        <v>0</v>
      </c>
      <c r="J294" s="214">
        <v>0</v>
      </c>
      <c r="K294" s="214">
        <v>0</v>
      </c>
      <c r="L294" s="214">
        <v>0</v>
      </c>
      <c r="M294" s="214">
        <v>0</v>
      </c>
      <c r="N294" s="214">
        <v>0</v>
      </c>
      <c r="O294" s="214">
        <v>0</v>
      </c>
      <c r="P294" s="192"/>
      <c r="Q294" s="192"/>
      <c r="R294" s="192"/>
    </row>
    <row r="295" spans="1:18">
      <c r="A295" s="263"/>
      <c r="B295" s="145" t="s">
        <v>86</v>
      </c>
      <c r="C295" s="214">
        <v>15213.95</v>
      </c>
      <c r="D295" s="214">
        <v>20634.674999999999</v>
      </c>
      <c r="E295" s="214">
        <v>12135.55</v>
      </c>
      <c r="F295" s="214">
        <v>10381.85</v>
      </c>
      <c r="G295" s="214">
        <v>10047.9</v>
      </c>
      <c r="H295" s="214">
        <v>36033.974999999999</v>
      </c>
      <c r="I295" s="214">
        <v>47776.1</v>
      </c>
      <c r="J295" s="214">
        <v>108573.3</v>
      </c>
      <c r="K295" s="214">
        <v>105239.4</v>
      </c>
      <c r="L295" s="214">
        <v>73395.25</v>
      </c>
      <c r="M295" s="214">
        <v>57932.775000000001</v>
      </c>
      <c r="N295" s="214">
        <v>56016.35</v>
      </c>
      <c r="O295" s="214">
        <v>54552.375</v>
      </c>
      <c r="P295" s="192"/>
      <c r="Q295" s="192"/>
      <c r="R295" s="192"/>
    </row>
    <row r="296" spans="1:18">
      <c r="A296" s="263"/>
      <c r="B296" s="145" t="s">
        <v>87</v>
      </c>
      <c r="C296" s="214">
        <v>0</v>
      </c>
      <c r="D296" s="214">
        <v>0</v>
      </c>
      <c r="E296" s="214">
        <v>4</v>
      </c>
      <c r="F296" s="214">
        <v>0</v>
      </c>
      <c r="G296" s="214">
        <v>0</v>
      </c>
      <c r="H296" s="214">
        <v>0</v>
      </c>
      <c r="I296" s="214">
        <v>2</v>
      </c>
      <c r="J296" s="214">
        <v>0</v>
      </c>
      <c r="K296" s="214">
        <v>164.75</v>
      </c>
      <c r="L296" s="214">
        <v>10.55</v>
      </c>
      <c r="M296" s="214">
        <v>0</v>
      </c>
      <c r="N296" s="214">
        <v>1854.825</v>
      </c>
      <c r="O296" s="214">
        <v>7491.5</v>
      </c>
      <c r="P296" s="192"/>
      <c r="Q296" s="192"/>
      <c r="R296" s="192"/>
    </row>
    <row r="297" spans="1:18">
      <c r="A297" s="263"/>
      <c r="B297" s="145" t="s">
        <v>84</v>
      </c>
      <c r="C297" s="214">
        <v>17984.525000000001</v>
      </c>
      <c r="D297" s="214">
        <v>22496.1</v>
      </c>
      <c r="E297" s="214">
        <v>28067.275000000001</v>
      </c>
      <c r="F297" s="214">
        <v>16037.9</v>
      </c>
      <c r="G297" s="214">
        <v>25499.974999999999</v>
      </c>
      <c r="H297" s="214">
        <v>26530.275000000001</v>
      </c>
      <c r="I297" s="214">
        <v>32165.775000000001</v>
      </c>
      <c r="J297" s="214">
        <v>34483.775000000001</v>
      </c>
      <c r="K297" s="214">
        <v>24725.375</v>
      </c>
      <c r="L297" s="214">
        <v>21775.599999999999</v>
      </c>
      <c r="M297" s="214">
        <v>16501.599999999999</v>
      </c>
      <c r="N297" s="214">
        <v>17942.75</v>
      </c>
      <c r="O297" s="214">
        <v>24462.5</v>
      </c>
      <c r="P297" s="192"/>
      <c r="Q297" s="192"/>
      <c r="R297" s="192"/>
    </row>
    <row r="298" spans="1:18">
      <c r="A298" s="264"/>
      <c r="B298" s="215" t="s">
        <v>0</v>
      </c>
      <c r="C298" s="216">
        <v>195827.02499999999</v>
      </c>
      <c r="D298" s="216">
        <v>182309.32500000001</v>
      </c>
      <c r="E298" s="216">
        <v>221780.57500000001</v>
      </c>
      <c r="F298" s="216">
        <v>175030.42499999999</v>
      </c>
      <c r="G298" s="216">
        <v>283181.3</v>
      </c>
      <c r="H298" s="216">
        <v>334851.02500000002</v>
      </c>
      <c r="I298" s="216">
        <v>361856.35</v>
      </c>
      <c r="J298" s="216">
        <v>528469.05000000005</v>
      </c>
      <c r="K298" s="216">
        <v>326272.95</v>
      </c>
      <c r="L298" s="216">
        <v>272576.55</v>
      </c>
      <c r="M298" s="216">
        <v>250370.42499999999</v>
      </c>
      <c r="N298" s="216">
        <v>336517.5</v>
      </c>
      <c r="O298" s="216">
        <v>360452.6</v>
      </c>
      <c r="P298" s="184">
        <f>O298/C298-1</f>
        <v>0.8406683142942093</v>
      </c>
      <c r="Q298" s="184">
        <f>(O279+O298)/(C298+C279)-1</f>
        <v>0.53991745867764984</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232</v>
      </c>
      <c r="B313" s="195" t="str">
        <f>MID(B314,6,1)</f>
        <v>S</v>
      </c>
      <c r="C313" s="195" t="str">
        <f t="shared" ref="C313:N313" si="9">MID(C314,6,1)</f>
        <v>O</v>
      </c>
      <c r="D313" s="195" t="str">
        <f t="shared" si="9"/>
        <v>N</v>
      </c>
      <c r="E313" s="195" t="str">
        <f t="shared" si="9"/>
        <v>D</v>
      </c>
      <c r="F313" s="195" t="str">
        <f t="shared" si="9"/>
        <v>E</v>
      </c>
      <c r="G313" s="195" t="str">
        <f t="shared" si="9"/>
        <v>F</v>
      </c>
      <c r="H313" s="195" t="str">
        <f t="shared" si="9"/>
        <v>M</v>
      </c>
      <c r="I313" s="195" t="str">
        <f t="shared" si="9"/>
        <v>A</v>
      </c>
      <c r="J313" s="195" t="str">
        <f t="shared" si="9"/>
        <v>M</v>
      </c>
      <c r="K313" s="195" t="str">
        <f t="shared" si="9"/>
        <v>J</v>
      </c>
      <c r="L313" s="195" t="str">
        <f t="shared" si="9"/>
        <v>J</v>
      </c>
      <c r="M313" s="195" t="str">
        <f t="shared" si="9"/>
        <v>A</v>
      </c>
      <c r="N313" s="195" t="str">
        <f t="shared" si="9"/>
        <v>S</v>
      </c>
      <c r="O313" s="146"/>
      <c r="P313" s="146"/>
      <c r="Q313" s="183"/>
      <c r="R313" s="183"/>
    </row>
    <row r="314" spans="1:18">
      <c r="A314" s="143" t="s">
        <v>95</v>
      </c>
      <c r="B314" s="249" t="s">
        <v>267</v>
      </c>
      <c r="C314" s="249" t="s">
        <v>270</v>
      </c>
      <c r="D314" s="249" t="s">
        <v>273</v>
      </c>
      <c r="E314" s="249" t="s">
        <v>274</v>
      </c>
      <c r="F314" s="249" t="s">
        <v>276</v>
      </c>
      <c r="G314" s="249" t="s">
        <v>278</v>
      </c>
      <c r="H314" s="249" t="s">
        <v>281</v>
      </c>
      <c r="I314" s="249" t="s">
        <v>285</v>
      </c>
      <c r="J314" s="249" t="s">
        <v>289</v>
      </c>
      <c r="K314" s="249" t="s">
        <v>291</v>
      </c>
      <c r="L314" s="249" t="s">
        <v>293</v>
      </c>
      <c r="M314" s="249" t="s">
        <v>295</v>
      </c>
      <c r="N314" s="249" t="s">
        <v>327</v>
      </c>
      <c r="O314" s="146"/>
      <c r="P314" s="146"/>
      <c r="Q314" s="183"/>
      <c r="R314" s="183"/>
    </row>
    <row r="315" spans="1:18">
      <c r="A315" s="143" t="s">
        <v>28</v>
      </c>
      <c r="B315" s="170"/>
      <c r="C315" s="170"/>
      <c r="D315" s="170"/>
      <c r="E315" s="170"/>
      <c r="F315" s="170"/>
      <c r="G315" s="170"/>
      <c r="H315" s="170"/>
      <c r="I315" s="170"/>
      <c r="J315" s="170"/>
      <c r="K315" s="170"/>
      <c r="L315" s="170"/>
      <c r="M315" s="170"/>
      <c r="N315" s="170"/>
      <c r="P315" s="146"/>
      <c r="Q315" s="183"/>
      <c r="R315" s="183"/>
    </row>
    <row r="316" spans="1:18">
      <c r="A316" s="145" t="s">
        <v>79</v>
      </c>
      <c r="B316" s="214">
        <v>79070</v>
      </c>
      <c r="C316" s="214">
        <v>139851.25</v>
      </c>
      <c r="D316" s="214">
        <v>76563</v>
      </c>
      <c r="E316" s="214">
        <v>175720.75</v>
      </c>
      <c r="F316" s="214">
        <v>106308.5</v>
      </c>
      <c r="G316" s="214">
        <v>70662.5</v>
      </c>
      <c r="H316" s="214">
        <v>111953</v>
      </c>
      <c r="I316" s="214">
        <v>78770.25</v>
      </c>
      <c r="J316" s="214">
        <v>89311.5</v>
      </c>
      <c r="K316" s="214">
        <v>127607.75</v>
      </c>
      <c r="L316" s="214">
        <v>199179.5</v>
      </c>
      <c r="M316" s="214">
        <v>129470.5</v>
      </c>
      <c r="N316" s="214">
        <v>94718.25</v>
      </c>
      <c r="Q316" s="183"/>
      <c r="R316" s="183"/>
    </row>
    <row r="317" spans="1:18">
      <c r="A317" s="145" t="s">
        <v>83</v>
      </c>
      <c r="B317" s="214">
        <v>196386</v>
      </c>
      <c r="C317" s="214">
        <v>148231</v>
      </c>
      <c r="D317" s="214">
        <v>223145.25</v>
      </c>
      <c r="E317" s="214">
        <v>164694.75</v>
      </c>
      <c r="F317" s="214">
        <v>274962.25</v>
      </c>
      <c r="G317" s="214">
        <v>288599.5</v>
      </c>
      <c r="H317" s="214">
        <v>260521.75</v>
      </c>
      <c r="I317" s="214">
        <v>367665.25</v>
      </c>
      <c r="J317" s="214">
        <v>215330.75</v>
      </c>
      <c r="K317" s="214">
        <v>177774</v>
      </c>
      <c r="L317" s="214">
        <v>118924</v>
      </c>
      <c r="M317" s="214">
        <v>160328.25</v>
      </c>
      <c r="N317" s="214">
        <v>243145</v>
      </c>
    </row>
    <row r="318" spans="1:18">
      <c r="A318" s="175" t="s">
        <v>215</v>
      </c>
      <c r="B318" s="178">
        <f>SUM(B316:B317)</f>
        <v>275456</v>
      </c>
      <c r="C318" s="178">
        <f t="shared" ref="C318:N318" si="10">SUM(C316:C317)</f>
        <v>288082.25</v>
      </c>
      <c r="D318" s="178">
        <f t="shared" si="10"/>
        <v>299708.25</v>
      </c>
      <c r="E318" s="178">
        <f t="shared" si="10"/>
        <v>340415.5</v>
      </c>
      <c r="F318" s="178">
        <f t="shared" si="10"/>
        <v>381270.75</v>
      </c>
      <c r="G318" s="178">
        <f t="shared" si="10"/>
        <v>359262</v>
      </c>
      <c r="H318" s="178">
        <f t="shared" si="10"/>
        <v>372474.75</v>
      </c>
      <c r="I318" s="178">
        <f t="shared" si="10"/>
        <v>446435.5</v>
      </c>
      <c r="J318" s="178">
        <f t="shared" si="10"/>
        <v>304642.25</v>
      </c>
      <c r="K318" s="178">
        <f t="shared" si="10"/>
        <v>305381.75</v>
      </c>
      <c r="L318" s="178">
        <f t="shared" si="10"/>
        <v>318103.5</v>
      </c>
      <c r="M318" s="178">
        <f t="shared" si="10"/>
        <v>289798.75</v>
      </c>
      <c r="N318" s="178">
        <f t="shared" si="10"/>
        <v>337863.25</v>
      </c>
      <c r="P318" s="183"/>
      <c r="Q318" s="183"/>
    </row>
    <row r="319" spans="1:18">
      <c r="A319" s="88" t="s">
        <v>219</v>
      </c>
      <c r="P319" s="183"/>
      <c r="Q319" s="183"/>
    </row>
    <row r="320" spans="1:18">
      <c r="A320" s="143"/>
      <c r="B320" s="143"/>
      <c r="C320" s="143" t="s">
        <v>28</v>
      </c>
      <c r="D320" s="258" t="s">
        <v>258</v>
      </c>
      <c r="E320" s="259"/>
      <c r="F320" s="259"/>
      <c r="G320" s="259"/>
      <c r="H320" s="259"/>
      <c r="I320" s="259"/>
      <c r="J320" s="259"/>
      <c r="K320" s="259"/>
      <c r="L320" s="259"/>
      <c r="M320" s="259"/>
      <c r="N320" s="259"/>
      <c r="O320" s="259"/>
      <c r="P320" s="259"/>
      <c r="Q320" s="183"/>
    </row>
    <row r="321" spans="1:17">
      <c r="A321" s="143"/>
      <c r="B321" s="143"/>
      <c r="C321" s="143" t="s">
        <v>95</v>
      </c>
      <c r="D321" s="249" t="s">
        <v>267</v>
      </c>
      <c r="E321" s="249" t="s">
        <v>270</v>
      </c>
      <c r="F321" s="249" t="s">
        <v>273</v>
      </c>
      <c r="G321" s="249" t="s">
        <v>274</v>
      </c>
      <c r="H321" s="249" t="s">
        <v>276</v>
      </c>
      <c r="I321" s="249" t="s">
        <v>278</v>
      </c>
      <c r="J321" s="249" t="s">
        <v>281</v>
      </c>
      <c r="K321" s="249" t="s">
        <v>285</v>
      </c>
      <c r="L321" s="249" t="s">
        <v>289</v>
      </c>
      <c r="M321" s="249" t="s">
        <v>291</v>
      </c>
      <c r="N321" s="249" t="s">
        <v>293</v>
      </c>
      <c r="O321" s="249" t="s">
        <v>295</v>
      </c>
      <c r="P321" s="249" t="s">
        <v>327</v>
      </c>
      <c r="Q321" s="183"/>
    </row>
    <row r="322" spans="1:17">
      <c r="A322" s="143" t="s">
        <v>128</v>
      </c>
      <c r="B322" s="143" t="s">
        <v>198</v>
      </c>
      <c r="C322" s="143" t="s">
        <v>199</v>
      </c>
      <c r="D322" s="170"/>
      <c r="E322" s="170"/>
      <c r="F322" s="170"/>
      <c r="G322" s="170"/>
      <c r="H322" s="170"/>
      <c r="I322" s="170"/>
      <c r="J322" s="170"/>
      <c r="K322" s="170"/>
      <c r="L322" s="170"/>
      <c r="M322" s="170"/>
      <c r="N322" s="170"/>
      <c r="O322" s="170"/>
      <c r="P322" s="170"/>
      <c r="Q322" s="183"/>
    </row>
    <row r="323" spans="1:17">
      <c r="A323" s="262" t="s">
        <v>193</v>
      </c>
      <c r="B323" s="262" t="s">
        <v>194</v>
      </c>
      <c r="C323" s="145" t="s">
        <v>195</v>
      </c>
      <c r="D323" s="214">
        <v>10544</v>
      </c>
      <c r="E323" s="214">
        <v>10508.8</v>
      </c>
      <c r="F323" s="214">
        <v>14554.1</v>
      </c>
      <c r="G323" s="214">
        <v>11374.3</v>
      </c>
      <c r="H323" s="214">
        <v>19280.5</v>
      </c>
      <c r="I323" s="214">
        <v>11627.5</v>
      </c>
      <c r="J323" s="214">
        <v>13597</v>
      </c>
      <c r="K323" s="214">
        <v>15456</v>
      </c>
      <c r="L323" s="214">
        <v>6692</v>
      </c>
      <c r="M323" s="214">
        <v>5900</v>
      </c>
      <c r="N323" s="214">
        <v>5752.1</v>
      </c>
      <c r="O323" s="214">
        <v>2420</v>
      </c>
      <c r="P323" s="214">
        <v>3714</v>
      </c>
      <c r="Q323" s="183"/>
    </row>
    <row r="324" spans="1:17">
      <c r="A324" s="263"/>
      <c r="B324" s="264"/>
      <c r="C324" s="145" t="s">
        <v>196</v>
      </c>
      <c r="D324" s="214">
        <v>39388.9</v>
      </c>
      <c r="E324" s="214">
        <v>58942.5</v>
      </c>
      <c r="F324" s="214">
        <v>34048.300000000003</v>
      </c>
      <c r="G324" s="214">
        <v>44685.4</v>
      </c>
      <c r="H324" s="214">
        <v>39323.5</v>
      </c>
      <c r="I324" s="214">
        <v>62430.3</v>
      </c>
      <c r="J324" s="214">
        <v>121758.8</v>
      </c>
      <c r="K324" s="214">
        <v>177774.8</v>
      </c>
      <c r="L324" s="214">
        <v>141126.39999999999</v>
      </c>
      <c r="M324" s="214">
        <v>125705</v>
      </c>
      <c r="N324" s="214">
        <v>136962</v>
      </c>
      <c r="O324" s="214">
        <v>164237</v>
      </c>
      <c r="P324" s="214">
        <v>104951</v>
      </c>
      <c r="Q324" s="183"/>
    </row>
    <row r="325" spans="1:17">
      <c r="A325" s="263"/>
      <c r="B325" s="265" t="s">
        <v>197</v>
      </c>
      <c r="C325" s="145" t="s">
        <v>195</v>
      </c>
      <c r="D325" s="214">
        <v>0</v>
      </c>
      <c r="E325" s="214">
        <v>0</v>
      </c>
      <c r="F325" s="214">
        <v>0</v>
      </c>
      <c r="G325" s="214">
        <v>0</v>
      </c>
      <c r="H325" s="214">
        <v>0</v>
      </c>
      <c r="I325" s="214">
        <v>0</v>
      </c>
      <c r="J325" s="214">
        <v>0</v>
      </c>
      <c r="K325" s="214">
        <v>0</v>
      </c>
      <c r="L325" s="214">
        <v>0</v>
      </c>
      <c r="M325" s="214">
        <v>0</v>
      </c>
      <c r="N325" s="214">
        <v>0</v>
      </c>
      <c r="O325" s="214">
        <v>0</v>
      </c>
      <c r="P325" s="214">
        <v>0</v>
      </c>
      <c r="Q325" s="183"/>
    </row>
    <row r="326" spans="1:17">
      <c r="A326" s="264"/>
      <c r="B326" s="264"/>
      <c r="C326" s="145" t="s">
        <v>196</v>
      </c>
      <c r="D326" s="214">
        <v>0</v>
      </c>
      <c r="E326" s="214">
        <v>0</v>
      </c>
      <c r="F326" s="214">
        <v>0</v>
      </c>
      <c r="G326" s="214">
        <v>0</v>
      </c>
      <c r="H326" s="214">
        <v>0</v>
      </c>
      <c r="I326" s="214">
        <v>0</v>
      </c>
      <c r="J326" s="214">
        <v>0</v>
      </c>
      <c r="K326" s="214">
        <v>0</v>
      </c>
      <c r="L326" s="214">
        <v>0</v>
      </c>
      <c r="M326" s="214">
        <v>0</v>
      </c>
      <c r="N326" s="214">
        <v>0</v>
      </c>
      <c r="O326" s="214">
        <v>0</v>
      </c>
      <c r="P326" s="214">
        <v>0</v>
      </c>
      <c r="Q326" s="183"/>
    </row>
    <row r="327" spans="1:17">
      <c r="A327" s="265" t="s">
        <v>223</v>
      </c>
      <c r="B327" s="265" t="s">
        <v>194</v>
      </c>
      <c r="C327" s="145" t="s">
        <v>195</v>
      </c>
      <c r="D327" s="214">
        <v>43063.3</v>
      </c>
      <c r="E327" s="214">
        <v>21642.7</v>
      </c>
      <c r="F327" s="214">
        <v>19149.099999999999</v>
      </c>
      <c r="G327" s="214">
        <v>25840.2</v>
      </c>
      <c r="H327" s="214">
        <v>50841.7</v>
      </c>
      <c r="I327" s="214">
        <v>25431.7</v>
      </c>
      <c r="J327" s="214">
        <v>13680.4</v>
      </c>
      <c r="K327" s="214">
        <v>11694</v>
      </c>
      <c r="L327" s="214">
        <v>26707</v>
      </c>
      <c r="M327" s="214">
        <v>24345.4</v>
      </c>
      <c r="N327" s="214">
        <v>40017.800000000003</v>
      </c>
      <c r="O327" s="214">
        <v>47585.5</v>
      </c>
      <c r="P327" s="214">
        <v>30360.7</v>
      </c>
      <c r="Q327" s="183"/>
    </row>
    <row r="328" spans="1:17">
      <c r="A328" s="263"/>
      <c r="B328" s="264"/>
      <c r="C328" s="145" t="s">
        <v>196</v>
      </c>
      <c r="D328" s="214">
        <v>89231.9</v>
      </c>
      <c r="E328" s="214">
        <v>80020.899999999994</v>
      </c>
      <c r="F328" s="214">
        <v>109984.5</v>
      </c>
      <c r="G328" s="214">
        <v>102588</v>
      </c>
      <c r="H328" s="214">
        <v>100314.7</v>
      </c>
      <c r="I328" s="214">
        <v>64202.5</v>
      </c>
      <c r="J328" s="214">
        <v>56049.9</v>
      </c>
      <c r="K328" s="214">
        <v>56392</v>
      </c>
      <c r="L328" s="214">
        <v>48172.5</v>
      </c>
      <c r="M328" s="214">
        <v>42929.599999999999</v>
      </c>
      <c r="N328" s="214">
        <v>32491</v>
      </c>
      <c r="O328" s="214">
        <v>37214</v>
      </c>
      <c r="P328" s="214">
        <v>55114.6</v>
      </c>
      <c r="Q328" s="183"/>
    </row>
    <row r="329" spans="1:17">
      <c r="A329" s="263"/>
      <c r="B329" s="265" t="s">
        <v>197</v>
      </c>
      <c r="C329" s="145" t="s">
        <v>195</v>
      </c>
      <c r="D329" s="214">
        <v>0</v>
      </c>
      <c r="E329" s="214">
        <v>0</v>
      </c>
      <c r="F329" s="214">
        <v>0</v>
      </c>
      <c r="G329" s="214">
        <v>0</v>
      </c>
      <c r="H329" s="214">
        <v>0</v>
      </c>
      <c r="I329" s="214">
        <v>0</v>
      </c>
      <c r="J329" s="214">
        <v>0</v>
      </c>
      <c r="K329" s="214">
        <v>0</v>
      </c>
      <c r="L329" s="214">
        <v>0</v>
      </c>
      <c r="M329" s="214">
        <v>0</v>
      </c>
      <c r="N329" s="214">
        <v>0</v>
      </c>
      <c r="O329" s="214">
        <v>0</v>
      </c>
      <c r="P329" s="214">
        <v>0</v>
      </c>
      <c r="Q329" s="183"/>
    </row>
    <row r="330" spans="1:17">
      <c r="A330" s="264"/>
      <c r="B330" s="264"/>
      <c r="C330" s="145" t="s">
        <v>196</v>
      </c>
      <c r="D330" s="214">
        <v>0</v>
      </c>
      <c r="E330" s="214">
        <v>0</v>
      </c>
      <c r="F330" s="214">
        <v>0</v>
      </c>
      <c r="G330" s="214">
        <v>0</v>
      </c>
      <c r="H330" s="214">
        <v>0</v>
      </c>
      <c r="I330" s="214">
        <v>0</v>
      </c>
      <c r="J330" s="214">
        <v>0</v>
      </c>
      <c r="K330" s="214">
        <v>0</v>
      </c>
      <c r="L330" s="214">
        <v>0</v>
      </c>
      <c r="M330" s="214">
        <v>0</v>
      </c>
      <c r="N330" s="214">
        <v>0</v>
      </c>
      <c r="O330" s="214">
        <v>0</v>
      </c>
      <c r="P330" s="214">
        <v>0</v>
      </c>
      <c r="Q330" s="183"/>
    </row>
    <row r="331" spans="1:17">
      <c r="A331" s="190"/>
      <c r="B331" s="145"/>
      <c r="C331" s="146"/>
      <c r="D331" s="146"/>
      <c r="E331" s="146"/>
      <c r="F331" s="146"/>
      <c r="G331" s="146"/>
      <c r="H331" s="146"/>
      <c r="I331" s="146"/>
      <c r="J331" s="146"/>
      <c r="K331" s="146"/>
      <c r="L331" s="146"/>
      <c r="M331" s="146"/>
      <c r="N331" s="146"/>
      <c r="O331" s="146"/>
      <c r="P331" s="183"/>
      <c r="Q331" s="183"/>
    </row>
    <row r="332" spans="1:17">
      <c r="A332" s="190"/>
      <c r="B332" s="145"/>
      <c r="C332" s="146"/>
      <c r="D332" s="146"/>
      <c r="E332" s="146"/>
      <c r="F332" s="146"/>
      <c r="G332" s="146"/>
      <c r="H332" s="146"/>
      <c r="I332" s="146"/>
      <c r="J332" s="146"/>
      <c r="K332" s="146"/>
      <c r="L332" s="146"/>
      <c r="M332" s="146"/>
      <c r="N332" s="146"/>
      <c r="O332" s="146"/>
      <c r="P332" s="183"/>
      <c r="Q332" s="183"/>
    </row>
    <row r="333" spans="1:17">
      <c r="A333" s="190"/>
      <c r="B333" s="145"/>
      <c r="C333" s="146"/>
      <c r="D333" s="146"/>
      <c r="E333" s="146"/>
      <c r="F333" s="146"/>
      <c r="G333" s="146"/>
      <c r="H333" s="146"/>
      <c r="I333" s="146"/>
      <c r="J333" s="146"/>
      <c r="K333" s="146"/>
      <c r="L333" s="146"/>
      <c r="M333" s="146"/>
      <c r="N333" s="146"/>
      <c r="O333" s="146"/>
      <c r="P333" s="183"/>
      <c r="Q333" s="183"/>
    </row>
    <row r="334" spans="1:17">
      <c r="A334" s="190"/>
      <c r="B334" s="145"/>
      <c r="C334" s="146"/>
      <c r="D334" s="146"/>
      <c r="E334" s="146"/>
      <c r="F334" s="146"/>
      <c r="G334" s="146"/>
      <c r="H334" s="146"/>
      <c r="I334" s="146"/>
      <c r="J334" s="146"/>
      <c r="K334" s="146"/>
      <c r="L334" s="146"/>
      <c r="M334" s="146"/>
      <c r="N334" s="146"/>
      <c r="O334" s="146"/>
      <c r="P334" s="183"/>
      <c r="Q334" s="183"/>
    </row>
    <row r="335" spans="1:17">
      <c r="A335" s="190"/>
      <c r="B335" s="145"/>
      <c r="C335" s="146"/>
      <c r="D335" s="146"/>
      <c r="E335" s="146"/>
      <c r="F335" s="146"/>
      <c r="G335" s="146"/>
      <c r="H335" s="146"/>
      <c r="I335" s="146"/>
      <c r="J335" s="146"/>
      <c r="K335" s="146"/>
      <c r="L335" s="146"/>
      <c r="M335" s="146"/>
      <c r="N335" s="146"/>
      <c r="O335" s="146"/>
      <c r="P335" s="183"/>
      <c r="Q335" s="183"/>
    </row>
    <row r="336" spans="1:17">
      <c r="A336" s="88" t="s">
        <v>233</v>
      </c>
      <c r="C336" s="169" t="str">
        <f>MID(C338,6,1)</f>
        <v>S</v>
      </c>
      <c r="D336" s="169" t="str">
        <f t="shared" ref="D336:O336" si="11">MID(D338,6,1)</f>
        <v>O</v>
      </c>
      <c r="E336" s="169" t="str">
        <f t="shared" si="11"/>
        <v>N</v>
      </c>
      <c r="F336" s="169" t="str">
        <f t="shared" si="11"/>
        <v>D</v>
      </c>
      <c r="G336" s="169" t="str">
        <f t="shared" si="11"/>
        <v>E</v>
      </c>
      <c r="H336" s="169" t="str">
        <f t="shared" si="11"/>
        <v>F</v>
      </c>
      <c r="I336" s="169" t="str">
        <f t="shared" si="11"/>
        <v>M</v>
      </c>
      <c r="J336" s="169" t="str">
        <f t="shared" si="11"/>
        <v>A</v>
      </c>
      <c r="K336" s="169" t="str">
        <f t="shared" si="11"/>
        <v>M</v>
      </c>
      <c r="L336" s="169" t="str">
        <f t="shared" si="11"/>
        <v>J</v>
      </c>
      <c r="M336" s="169" t="str">
        <f t="shared" si="11"/>
        <v>J</v>
      </c>
      <c r="N336" s="169" t="str">
        <f t="shared" si="11"/>
        <v>A</v>
      </c>
      <c r="O336" s="169" t="str">
        <f t="shared" si="11"/>
        <v>S</v>
      </c>
      <c r="P336" s="183"/>
      <c r="Q336" s="183"/>
    </row>
    <row r="337" spans="1:22">
      <c r="A337" s="143"/>
      <c r="B337" s="143" t="s">
        <v>28</v>
      </c>
      <c r="C337" s="266" t="s">
        <v>208</v>
      </c>
      <c r="D337" s="267"/>
      <c r="E337" s="267"/>
      <c r="F337" s="267"/>
      <c r="G337" s="267"/>
      <c r="H337" s="267"/>
      <c r="I337" s="267"/>
      <c r="J337" s="267"/>
      <c r="K337" s="267"/>
      <c r="L337" s="267"/>
      <c r="M337" s="267"/>
      <c r="N337" s="267"/>
      <c r="O337" s="267"/>
      <c r="P337" s="183"/>
      <c r="Q337" s="183"/>
    </row>
    <row r="338" spans="1:22">
      <c r="A338" s="143"/>
      <c r="B338" s="143" t="s">
        <v>95</v>
      </c>
      <c r="C338" s="249" t="s">
        <v>267</v>
      </c>
      <c r="D338" s="249" t="s">
        <v>270</v>
      </c>
      <c r="E338" s="249" t="s">
        <v>273</v>
      </c>
      <c r="F338" s="249" t="s">
        <v>274</v>
      </c>
      <c r="G338" s="249" t="s">
        <v>276</v>
      </c>
      <c r="H338" s="249" t="s">
        <v>278</v>
      </c>
      <c r="I338" s="249" t="s">
        <v>281</v>
      </c>
      <c r="J338" s="249" t="s">
        <v>285</v>
      </c>
      <c r="K338" s="249" t="s">
        <v>289</v>
      </c>
      <c r="L338" s="249" t="s">
        <v>291</v>
      </c>
      <c r="M338" s="249" t="s">
        <v>293</v>
      </c>
      <c r="N338" s="249" t="s">
        <v>295</v>
      </c>
      <c r="O338" s="249" t="s">
        <v>327</v>
      </c>
      <c r="P338" s="183"/>
      <c r="Q338" s="183"/>
    </row>
    <row r="339" spans="1:22">
      <c r="A339" s="143" t="s">
        <v>128</v>
      </c>
      <c r="B339" s="143" t="s">
        <v>129</v>
      </c>
      <c r="C339" s="170"/>
      <c r="D339" s="170"/>
      <c r="E339" s="170"/>
      <c r="F339" s="170"/>
      <c r="G339" s="170"/>
      <c r="H339" s="170"/>
      <c r="I339" s="170"/>
      <c r="J339" s="170"/>
      <c r="K339" s="170"/>
      <c r="L339" s="170"/>
      <c r="M339" s="170"/>
      <c r="N339" s="170"/>
      <c r="O339" s="170"/>
      <c r="P339" s="183"/>
      <c r="Q339" s="183"/>
    </row>
    <row r="340" spans="1:22">
      <c r="A340" s="274" t="s">
        <v>79</v>
      </c>
      <c r="B340" s="145" t="s">
        <v>286</v>
      </c>
      <c r="C340" s="214">
        <v>0</v>
      </c>
      <c r="D340" s="214">
        <v>0</v>
      </c>
      <c r="E340" s="214">
        <v>0</v>
      </c>
      <c r="F340" s="214">
        <v>0</v>
      </c>
      <c r="G340" s="214">
        <v>0</v>
      </c>
      <c r="H340" s="214">
        <v>0</v>
      </c>
      <c r="I340" s="214">
        <v>0</v>
      </c>
      <c r="J340" s="214">
        <v>0</v>
      </c>
      <c r="K340" s="214">
        <v>0</v>
      </c>
      <c r="L340" s="214">
        <v>0</v>
      </c>
      <c r="M340" s="214">
        <v>0</v>
      </c>
      <c r="N340" s="214">
        <v>0</v>
      </c>
      <c r="O340" s="214">
        <v>0</v>
      </c>
      <c r="P340" s="183"/>
      <c r="Q340" s="186"/>
    </row>
    <row r="341" spans="1:22">
      <c r="A341" s="263"/>
      <c r="B341" s="145" t="s">
        <v>81</v>
      </c>
      <c r="C341" s="214">
        <v>38425</v>
      </c>
      <c r="D341" s="214">
        <v>22001.7</v>
      </c>
      <c r="E341" s="214">
        <v>0</v>
      </c>
      <c r="F341" s="214">
        <v>397.08300000000003</v>
      </c>
      <c r="G341" s="214">
        <v>12198.75</v>
      </c>
      <c r="H341" s="214">
        <v>340</v>
      </c>
      <c r="I341" s="214">
        <v>0</v>
      </c>
      <c r="J341" s="214">
        <v>0</v>
      </c>
      <c r="K341" s="214">
        <v>0</v>
      </c>
      <c r="L341" s="214">
        <v>4632.6000000000004</v>
      </c>
      <c r="M341" s="214">
        <v>10899</v>
      </c>
      <c r="N341" s="214">
        <v>3159</v>
      </c>
      <c r="O341" s="214">
        <v>6921</v>
      </c>
      <c r="P341" s="183"/>
      <c r="Q341" s="183"/>
    </row>
    <row r="342" spans="1:22">
      <c r="A342" s="263"/>
      <c r="B342" s="145" t="s">
        <v>24</v>
      </c>
      <c r="C342" s="214">
        <v>287082.59399999998</v>
      </c>
      <c r="D342" s="214">
        <v>391922.45899999997</v>
      </c>
      <c r="E342" s="214">
        <v>573207.83400000003</v>
      </c>
      <c r="F342" s="214">
        <v>607349.12600000005</v>
      </c>
      <c r="G342" s="214">
        <v>484724.1</v>
      </c>
      <c r="H342" s="214">
        <v>419985.842</v>
      </c>
      <c r="I342" s="214">
        <v>451230.06699999998</v>
      </c>
      <c r="J342" s="214">
        <v>529199.00800000003</v>
      </c>
      <c r="K342" s="214">
        <v>292755.49599999998</v>
      </c>
      <c r="L342" s="214">
        <v>305769.40000000002</v>
      </c>
      <c r="M342" s="214">
        <v>417951.071</v>
      </c>
      <c r="N342" s="214">
        <v>452723.04200000002</v>
      </c>
      <c r="O342" s="214">
        <v>430782.21600000001</v>
      </c>
      <c r="P342" s="183"/>
      <c r="Q342" s="183"/>
    </row>
    <row r="343" spans="1:22">
      <c r="A343" s="263"/>
      <c r="B343" s="145" t="s">
        <v>88</v>
      </c>
      <c r="C343" s="214">
        <v>0</v>
      </c>
      <c r="D343" s="214">
        <v>600</v>
      </c>
      <c r="E343" s="214">
        <v>491.7</v>
      </c>
      <c r="F343" s="214">
        <v>0</v>
      </c>
      <c r="G343" s="214">
        <v>0</v>
      </c>
      <c r="H343" s="214">
        <v>0</v>
      </c>
      <c r="I343" s="214">
        <v>0</v>
      </c>
      <c r="J343" s="214">
        <v>0</v>
      </c>
      <c r="K343" s="214">
        <v>0</v>
      </c>
      <c r="L343" s="214">
        <v>0</v>
      </c>
      <c r="M343" s="214">
        <v>8.61</v>
      </c>
      <c r="N343" s="214">
        <v>0</v>
      </c>
      <c r="O343" s="214">
        <v>0</v>
      </c>
      <c r="P343" s="183"/>
      <c r="Q343" s="183"/>
    </row>
    <row r="344" spans="1:22">
      <c r="A344" s="263"/>
      <c r="B344" s="145" t="s">
        <v>82</v>
      </c>
      <c r="C344" s="214">
        <v>5227.5839999999998</v>
      </c>
      <c r="D344" s="214">
        <v>1995.1669999999999</v>
      </c>
      <c r="E344" s="214">
        <v>12124.45</v>
      </c>
      <c r="F344" s="214">
        <v>2462.5</v>
      </c>
      <c r="G344" s="214">
        <v>596.03300000000002</v>
      </c>
      <c r="H344" s="214">
        <v>186.65</v>
      </c>
      <c r="I344" s="214">
        <v>6444.8249999999998</v>
      </c>
      <c r="J344" s="214">
        <v>1372.1669999999999</v>
      </c>
      <c r="K344" s="214">
        <v>1162.867</v>
      </c>
      <c r="L344" s="214">
        <v>1212.25</v>
      </c>
      <c r="M344" s="214">
        <v>5738.7330000000002</v>
      </c>
      <c r="N344" s="214">
        <v>9876.75</v>
      </c>
      <c r="O344" s="214">
        <v>408.33300000000003</v>
      </c>
      <c r="P344" s="183"/>
      <c r="Q344" s="183"/>
    </row>
    <row r="345" spans="1:22">
      <c r="A345" s="263"/>
      <c r="B345" s="145" t="s">
        <v>91</v>
      </c>
      <c r="C345" s="214">
        <v>0</v>
      </c>
      <c r="D345" s="214">
        <v>550.78300000000002</v>
      </c>
      <c r="E345" s="214">
        <v>319.05</v>
      </c>
      <c r="F345" s="214">
        <v>0</v>
      </c>
      <c r="G345" s="214">
        <v>0</v>
      </c>
      <c r="H345" s="214">
        <v>51</v>
      </c>
      <c r="I345" s="214">
        <v>423.8</v>
      </c>
      <c r="J345" s="214">
        <v>383</v>
      </c>
      <c r="K345" s="214">
        <v>1163.7</v>
      </c>
      <c r="L345" s="214">
        <v>2708.7</v>
      </c>
      <c r="M345" s="214">
        <v>0</v>
      </c>
      <c r="N345" s="214">
        <v>2741.6</v>
      </c>
      <c r="O345" s="214">
        <v>372</v>
      </c>
      <c r="P345" s="183"/>
      <c r="Q345" s="183"/>
    </row>
    <row r="346" spans="1:22">
      <c r="A346" s="263"/>
      <c r="B346" s="145" t="s">
        <v>85</v>
      </c>
      <c r="C346" s="214">
        <v>0</v>
      </c>
      <c r="D346" s="214">
        <v>0</v>
      </c>
      <c r="E346" s="214">
        <v>100</v>
      </c>
      <c r="F346" s="214">
        <v>0</v>
      </c>
      <c r="G346" s="214">
        <v>0</v>
      </c>
      <c r="H346" s="214">
        <v>0</v>
      </c>
      <c r="I346" s="214">
        <v>0</v>
      </c>
      <c r="J346" s="214">
        <v>0</v>
      </c>
      <c r="K346" s="214">
        <v>0</v>
      </c>
      <c r="L346" s="214">
        <v>0</v>
      </c>
      <c r="M346" s="214">
        <v>0</v>
      </c>
      <c r="N346" s="214">
        <v>0</v>
      </c>
      <c r="O346" s="214">
        <v>116.667</v>
      </c>
      <c r="P346" s="183"/>
      <c r="Q346" s="183"/>
    </row>
    <row r="347" spans="1:22">
      <c r="A347" s="263"/>
      <c r="B347" s="145" t="s">
        <v>287</v>
      </c>
      <c r="C347" s="214">
        <v>0</v>
      </c>
      <c r="D347" s="214">
        <v>0</v>
      </c>
      <c r="E347" s="214">
        <v>0</v>
      </c>
      <c r="F347" s="214">
        <v>0</v>
      </c>
      <c r="G347" s="214">
        <v>0</v>
      </c>
      <c r="H347" s="214">
        <v>0</v>
      </c>
      <c r="I347" s="214">
        <v>0</v>
      </c>
      <c r="J347" s="214">
        <v>0</v>
      </c>
      <c r="K347" s="214">
        <v>0</v>
      </c>
      <c r="L347" s="214">
        <v>0</v>
      </c>
      <c r="M347" s="214">
        <v>0</v>
      </c>
      <c r="N347" s="214">
        <v>0</v>
      </c>
      <c r="O347" s="214">
        <v>0</v>
      </c>
      <c r="P347" s="183"/>
      <c r="Q347" s="183"/>
    </row>
    <row r="348" spans="1:22">
      <c r="A348" s="263"/>
      <c r="B348" s="145" t="s">
        <v>20</v>
      </c>
      <c r="C348" s="214">
        <v>0</v>
      </c>
      <c r="D348" s="214">
        <v>0</v>
      </c>
      <c r="E348" s="214">
        <v>16.5</v>
      </c>
      <c r="F348" s="214">
        <v>991</v>
      </c>
      <c r="G348" s="214">
        <v>200</v>
      </c>
      <c r="H348" s="214">
        <v>0</v>
      </c>
      <c r="I348" s="214">
        <v>0</v>
      </c>
      <c r="J348" s="214">
        <v>3583.433</v>
      </c>
      <c r="K348" s="214">
        <v>489</v>
      </c>
      <c r="L348" s="214">
        <v>0</v>
      </c>
      <c r="M348" s="214">
        <v>755.27</v>
      </c>
      <c r="N348" s="214">
        <v>0</v>
      </c>
      <c r="O348" s="214">
        <v>0</v>
      </c>
      <c r="P348" s="184"/>
      <c r="Q348" s="184"/>
    </row>
    <row r="349" spans="1:22">
      <c r="A349" s="263"/>
      <c r="B349" s="145" t="s">
        <v>226</v>
      </c>
      <c r="C349" s="214">
        <v>0</v>
      </c>
      <c r="D349" s="214">
        <v>0</v>
      </c>
      <c r="E349" s="214">
        <v>0</v>
      </c>
      <c r="F349" s="214">
        <v>0</v>
      </c>
      <c r="G349" s="214">
        <v>0</v>
      </c>
      <c r="H349" s="214">
        <v>0</v>
      </c>
      <c r="I349" s="214">
        <v>0</v>
      </c>
      <c r="J349" s="214">
        <v>0</v>
      </c>
      <c r="K349" s="214">
        <v>0</v>
      </c>
      <c r="L349" s="214">
        <v>0</v>
      </c>
      <c r="M349" s="214">
        <v>0</v>
      </c>
      <c r="N349" s="214">
        <v>0</v>
      </c>
      <c r="O349" s="214">
        <v>0</v>
      </c>
      <c r="P349" s="184"/>
      <c r="Q349" s="184"/>
    </row>
    <row r="350" spans="1:22">
      <c r="A350" s="263"/>
      <c r="B350" s="145" t="s">
        <v>93</v>
      </c>
      <c r="C350" s="214">
        <v>0</v>
      </c>
      <c r="D350" s="214">
        <v>0</v>
      </c>
      <c r="E350" s="214">
        <v>0</v>
      </c>
      <c r="F350" s="214">
        <v>0</v>
      </c>
      <c r="G350" s="214">
        <v>0</v>
      </c>
      <c r="H350" s="214">
        <v>0</v>
      </c>
      <c r="I350" s="214">
        <v>0</v>
      </c>
      <c r="J350" s="214">
        <v>0</v>
      </c>
      <c r="K350" s="214">
        <v>0</v>
      </c>
      <c r="L350" s="214">
        <v>0</v>
      </c>
      <c r="M350" s="214">
        <v>0</v>
      </c>
      <c r="N350" s="214">
        <v>0</v>
      </c>
      <c r="O350" s="214">
        <v>18.332999999999998</v>
      </c>
      <c r="P350" s="191"/>
      <c r="Q350" s="191"/>
      <c r="R350" s="191"/>
      <c r="S350" s="191"/>
      <c r="T350" s="191"/>
      <c r="U350" s="191"/>
      <c r="V350" s="191"/>
    </row>
    <row r="351" spans="1:22">
      <c r="A351" s="263"/>
      <c r="B351" s="145" t="s">
        <v>80</v>
      </c>
      <c r="C351" s="214">
        <v>0</v>
      </c>
      <c r="D351" s="214">
        <v>0</v>
      </c>
      <c r="E351" s="214">
        <v>0</v>
      </c>
      <c r="F351" s="214">
        <v>0</v>
      </c>
      <c r="G351" s="214">
        <v>0</v>
      </c>
      <c r="H351" s="214">
        <v>6670</v>
      </c>
      <c r="I351" s="214">
        <v>0</v>
      </c>
      <c r="J351" s="214">
        <v>0</v>
      </c>
      <c r="K351" s="214">
        <v>0</v>
      </c>
      <c r="L351" s="214">
        <v>0</v>
      </c>
      <c r="M351" s="214">
        <v>20.260000000000002</v>
      </c>
      <c r="N351" s="214">
        <v>0</v>
      </c>
      <c r="O351" s="214">
        <v>0</v>
      </c>
      <c r="P351" s="191"/>
      <c r="Q351" s="191"/>
      <c r="R351" s="191"/>
      <c r="S351" s="191"/>
      <c r="T351" s="191"/>
      <c r="U351" s="191"/>
      <c r="V351" s="191"/>
    </row>
    <row r="352" spans="1:22">
      <c r="A352" s="263"/>
      <c r="B352" s="145" t="s">
        <v>89</v>
      </c>
      <c r="C352" s="214">
        <v>0</v>
      </c>
      <c r="D352" s="214">
        <v>108.25</v>
      </c>
      <c r="E352" s="214">
        <v>1115.7670000000001</v>
      </c>
      <c r="F352" s="214">
        <v>0</v>
      </c>
      <c r="G352" s="214">
        <v>0</v>
      </c>
      <c r="H352" s="214">
        <v>0</v>
      </c>
      <c r="I352" s="214">
        <v>18</v>
      </c>
      <c r="J352" s="214">
        <v>24.632999999999999</v>
      </c>
      <c r="K352" s="214">
        <v>0</v>
      </c>
      <c r="L352" s="214">
        <v>0</v>
      </c>
      <c r="M352" s="214">
        <v>29.28</v>
      </c>
      <c r="N352" s="214">
        <v>0</v>
      </c>
      <c r="O352" s="214">
        <v>0</v>
      </c>
      <c r="P352" s="191"/>
      <c r="Q352" s="191"/>
      <c r="R352" s="191"/>
      <c r="S352" s="191"/>
      <c r="T352" s="191"/>
      <c r="U352" s="191"/>
      <c r="V352" s="191"/>
    </row>
    <row r="353" spans="1:22">
      <c r="A353" s="263"/>
      <c r="B353" s="145" t="s">
        <v>94</v>
      </c>
      <c r="C353" s="214">
        <v>0</v>
      </c>
      <c r="D353" s="214">
        <v>0</v>
      </c>
      <c r="E353" s="214">
        <v>0</v>
      </c>
      <c r="F353" s="214">
        <v>0</v>
      </c>
      <c r="G353" s="214">
        <v>0</v>
      </c>
      <c r="H353" s="214">
        <v>0</v>
      </c>
      <c r="I353" s="214">
        <v>0</v>
      </c>
      <c r="J353" s="214">
        <v>0</v>
      </c>
      <c r="K353" s="214">
        <v>0</v>
      </c>
      <c r="L353" s="214">
        <v>0</v>
      </c>
      <c r="M353" s="214">
        <v>2.4500000000000002</v>
      </c>
      <c r="N353" s="214">
        <v>0</v>
      </c>
      <c r="O353" s="214">
        <v>0</v>
      </c>
      <c r="P353" s="191"/>
      <c r="Q353" s="191"/>
      <c r="R353" s="191"/>
      <c r="S353" s="191"/>
      <c r="T353" s="191"/>
      <c r="U353" s="191"/>
      <c r="V353" s="191"/>
    </row>
    <row r="354" spans="1:22">
      <c r="A354" s="263"/>
      <c r="B354" s="145" t="s">
        <v>86</v>
      </c>
      <c r="C354" s="214">
        <v>0</v>
      </c>
      <c r="D354" s="214">
        <v>0</v>
      </c>
      <c r="E354" s="214">
        <v>0</v>
      </c>
      <c r="F354" s="214">
        <v>0</v>
      </c>
      <c r="G354" s="214">
        <v>0</v>
      </c>
      <c r="H354" s="214">
        <v>0</v>
      </c>
      <c r="I354" s="214">
        <v>0</v>
      </c>
      <c r="J354" s="214">
        <v>0</v>
      </c>
      <c r="K354" s="214">
        <v>0</v>
      </c>
      <c r="L354" s="214">
        <v>0</v>
      </c>
      <c r="M354" s="214">
        <v>0</v>
      </c>
      <c r="N354" s="214">
        <v>0</v>
      </c>
      <c r="O354" s="214">
        <v>0</v>
      </c>
      <c r="P354" s="191"/>
      <c r="Q354" s="191"/>
      <c r="R354" s="191"/>
      <c r="S354" s="191"/>
      <c r="T354" s="191"/>
      <c r="U354" s="191"/>
      <c r="V354" s="191"/>
    </row>
    <row r="355" spans="1:22">
      <c r="A355" s="263"/>
      <c r="B355" s="145" t="s">
        <v>87</v>
      </c>
      <c r="C355" s="214">
        <v>0</v>
      </c>
      <c r="D355" s="214">
        <v>0</v>
      </c>
      <c r="E355" s="214">
        <v>0</v>
      </c>
      <c r="F355" s="214">
        <v>0</v>
      </c>
      <c r="G355" s="214">
        <v>0</v>
      </c>
      <c r="H355" s="214">
        <v>0</v>
      </c>
      <c r="I355" s="214">
        <v>0</v>
      </c>
      <c r="J355" s="214">
        <v>0</v>
      </c>
      <c r="K355" s="214">
        <v>0</v>
      </c>
      <c r="L355" s="214">
        <v>0</v>
      </c>
      <c r="M355" s="214">
        <v>0</v>
      </c>
      <c r="N355" s="214">
        <v>0</v>
      </c>
      <c r="O355" s="214">
        <v>0</v>
      </c>
      <c r="P355" s="184">
        <f>O357/C357-1</f>
        <v>0.31813274655857016</v>
      </c>
      <c r="Q355" s="191"/>
      <c r="R355" s="191"/>
      <c r="S355" s="191"/>
      <c r="T355" s="191"/>
      <c r="U355" s="191"/>
      <c r="V355" s="191"/>
    </row>
    <row r="356" spans="1:22">
      <c r="A356" s="263"/>
      <c r="B356" s="145" t="s">
        <v>84</v>
      </c>
      <c r="C356" s="214">
        <v>2105.7669999999998</v>
      </c>
      <c r="D356" s="214">
        <v>659.78</v>
      </c>
      <c r="E356" s="214">
        <v>1155.7</v>
      </c>
      <c r="F356" s="214">
        <v>2414.9180000000001</v>
      </c>
      <c r="G356" s="214">
        <v>1329.5</v>
      </c>
      <c r="H356" s="214">
        <v>100</v>
      </c>
      <c r="I356" s="214">
        <v>66.8</v>
      </c>
      <c r="J356" s="214">
        <v>1504.75</v>
      </c>
      <c r="K356" s="214">
        <v>2343.8330000000001</v>
      </c>
      <c r="L356" s="214">
        <v>854.25</v>
      </c>
      <c r="M356" s="214">
        <v>6969.8</v>
      </c>
      <c r="N356" s="214">
        <v>24880.207999999999</v>
      </c>
      <c r="O356" s="214">
        <v>110</v>
      </c>
      <c r="P356" s="191"/>
      <c r="Q356" s="191"/>
      <c r="R356" s="191"/>
      <c r="S356" s="191"/>
      <c r="T356" s="191"/>
      <c r="U356" s="191"/>
      <c r="V356" s="191"/>
    </row>
    <row r="357" spans="1:22">
      <c r="A357" s="264"/>
      <c r="B357" s="215" t="s">
        <v>0</v>
      </c>
      <c r="C357" s="216">
        <v>332840.94500000001</v>
      </c>
      <c r="D357" s="216">
        <v>417838.13900000002</v>
      </c>
      <c r="E357" s="216">
        <v>588531.00100000005</v>
      </c>
      <c r="F357" s="216">
        <v>613614.62699999998</v>
      </c>
      <c r="G357" s="216">
        <v>499048.38299999997</v>
      </c>
      <c r="H357" s="216">
        <v>427333.49200000003</v>
      </c>
      <c r="I357" s="216">
        <v>458183.49200000003</v>
      </c>
      <c r="J357" s="216">
        <v>536066.99100000004</v>
      </c>
      <c r="K357" s="216">
        <v>297914.89600000001</v>
      </c>
      <c r="L357" s="216">
        <v>315177.2</v>
      </c>
      <c r="M357" s="216">
        <v>442374.47399999999</v>
      </c>
      <c r="N357" s="216">
        <v>493380.6</v>
      </c>
      <c r="O357" s="216">
        <v>438728.549</v>
      </c>
      <c r="P357" s="191"/>
      <c r="Q357" s="191"/>
      <c r="R357" s="191"/>
      <c r="S357" s="191"/>
      <c r="T357" s="191"/>
      <c r="U357" s="191"/>
      <c r="V357" s="191"/>
    </row>
    <row r="358" spans="1:22">
      <c r="A358" s="273" t="s">
        <v>83</v>
      </c>
      <c r="B358" s="145" t="s">
        <v>286</v>
      </c>
      <c r="C358" s="214">
        <v>0</v>
      </c>
      <c r="D358" s="214">
        <v>0</v>
      </c>
      <c r="E358" s="214">
        <v>0</v>
      </c>
      <c r="F358" s="214">
        <v>0</v>
      </c>
      <c r="G358" s="214">
        <v>0</v>
      </c>
      <c r="H358" s="214">
        <v>0</v>
      </c>
      <c r="I358" s="214">
        <v>0</v>
      </c>
      <c r="J358" s="214">
        <v>0</v>
      </c>
      <c r="K358" s="214">
        <v>0</v>
      </c>
      <c r="L358" s="214">
        <v>0</v>
      </c>
      <c r="M358" s="214">
        <v>0</v>
      </c>
      <c r="N358" s="214">
        <v>0</v>
      </c>
      <c r="O358" s="214">
        <v>0</v>
      </c>
      <c r="P358" s="191"/>
      <c r="Q358" s="191"/>
      <c r="R358" s="191"/>
      <c r="S358" s="191"/>
      <c r="T358" s="191"/>
      <c r="U358" s="191"/>
      <c r="V358" s="191"/>
    </row>
    <row r="359" spans="1:22">
      <c r="A359" s="263"/>
      <c r="B359" s="145" t="s">
        <v>81</v>
      </c>
      <c r="C359" s="214">
        <v>0</v>
      </c>
      <c r="D359" s="214">
        <v>0</v>
      </c>
      <c r="E359" s="214">
        <v>0</v>
      </c>
      <c r="F359" s="214">
        <v>0</v>
      </c>
      <c r="G359" s="214">
        <v>0</v>
      </c>
      <c r="H359" s="214">
        <v>0</v>
      </c>
      <c r="I359" s="214">
        <v>0</v>
      </c>
      <c r="J359" s="214">
        <v>0</v>
      </c>
      <c r="K359" s="214">
        <v>0</v>
      </c>
      <c r="L359" s="214">
        <v>0</v>
      </c>
      <c r="M359" s="214">
        <v>0</v>
      </c>
      <c r="N359" s="214">
        <v>0</v>
      </c>
      <c r="O359" s="214">
        <v>0</v>
      </c>
      <c r="P359" s="191"/>
      <c r="Q359" s="191"/>
      <c r="R359" s="191"/>
      <c r="S359" s="191"/>
      <c r="T359" s="191"/>
      <c r="U359" s="191"/>
      <c r="V359" s="191"/>
    </row>
    <row r="360" spans="1:22">
      <c r="A360" s="263"/>
      <c r="B360" s="145" t="s">
        <v>24</v>
      </c>
      <c r="C360" s="214">
        <v>958.3</v>
      </c>
      <c r="D360" s="214">
        <v>186.85</v>
      </c>
      <c r="E360" s="214">
        <v>3.75</v>
      </c>
      <c r="F360" s="214">
        <v>1374.075</v>
      </c>
      <c r="G360" s="214">
        <v>0</v>
      </c>
      <c r="H360" s="214">
        <v>155</v>
      </c>
      <c r="I360" s="214">
        <v>0</v>
      </c>
      <c r="J360" s="214">
        <v>10</v>
      </c>
      <c r="K360" s="214">
        <v>0</v>
      </c>
      <c r="L360" s="214">
        <v>1365.3</v>
      </c>
      <c r="M360" s="214">
        <v>3894.75</v>
      </c>
      <c r="N360" s="214">
        <v>3825.5839999999998</v>
      </c>
      <c r="O360" s="214">
        <v>1455.4469999999999</v>
      </c>
      <c r="P360" s="191"/>
      <c r="Q360" s="191"/>
      <c r="R360" s="191"/>
      <c r="S360" s="191"/>
      <c r="T360" s="191"/>
      <c r="U360" s="191"/>
      <c r="V360" s="191"/>
    </row>
    <row r="361" spans="1:22">
      <c r="A361" s="263"/>
      <c r="B361" s="145" t="s">
        <v>88</v>
      </c>
      <c r="C361" s="214">
        <v>215.17699999999999</v>
      </c>
      <c r="D361" s="214">
        <v>413.56700000000001</v>
      </c>
      <c r="E361" s="214">
        <v>528.09799999999996</v>
      </c>
      <c r="F361" s="214">
        <v>765.46799999999996</v>
      </c>
      <c r="G361" s="214">
        <v>519.226</v>
      </c>
      <c r="H361" s="214">
        <v>1004.436</v>
      </c>
      <c r="I361" s="214">
        <v>1079.9839999999999</v>
      </c>
      <c r="J361" s="214">
        <v>1089.4069999999999</v>
      </c>
      <c r="K361" s="214">
        <v>1088.4359999999999</v>
      </c>
      <c r="L361" s="214">
        <v>1965.856</v>
      </c>
      <c r="M361" s="214">
        <v>2542.4380000000001</v>
      </c>
      <c r="N361" s="214">
        <v>1938.558</v>
      </c>
      <c r="O361" s="214">
        <v>841.26099999999997</v>
      </c>
      <c r="P361" s="191"/>
      <c r="Q361" s="191"/>
      <c r="R361" s="191"/>
      <c r="S361" s="191"/>
      <c r="T361" s="191"/>
      <c r="U361" s="191"/>
      <c r="V361" s="191"/>
    </row>
    <row r="362" spans="1:22">
      <c r="A362" s="263"/>
      <c r="B362" s="145" t="s">
        <v>82</v>
      </c>
      <c r="C362" s="214">
        <v>27683.021000000001</v>
      </c>
      <c r="D362" s="214">
        <v>39689.898999999998</v>
      </c>
      <c r="E362" s="214">
        <v>18641.495999999999</v>
      </c>
      <c r="F362" s="214">
        <v>21378.15</v>
      </c>
      <c r="G362" s="214">
        <v>28959.425999999999</v>
      </c>
      <c r="H362" s="214">
        <v>16487.8</v>
      </c>
      <c r="I362" s="214">
        <v>4441.0829999999996</v>
      </c>
      <c r="J362" s="214">
        <v>6010.1840000000002</v>
      </c>
      <c r="K362" s="214">
        <v>7774.2160000000003</v>
      </c>
      <c r="L362" s="214">
        <v>1115.75</v>
      </c>
      <c r="M362" s="214">
        <v>2546.0500000000002</v>
      </c>
      <c r="N362" s="214">
        <v>3493.634</v>
      </c>
      <c r="O362" s="214">
        <v>2673.65</v>
      </c>
      <c r="P362" s="191"/>
      <c r="Q362" s="191"/>
      <c r="R362" s="191"/>
      <c r="S362" s="191"/>
      <c r="T362" s="191"/>
      <c r="U362" s="191"/>
      <c r="V362" s="191"/>
    </row>
    <row r="363" spans="1:22">
      <c r="A363" s="263"/>
      <c r="B363" s="145" t="s">
        <v>91</v>
      </c>
      <c r="C363" s="214">
        <v>0</v>
      </c>
      <c r="D363" s="214">
        <v>0</v>
      </c>
      <c r="E363" s="214">
        <v>0</v>
      </c>
      <c r="F363" s="214">
        <v>0</v>
      </c>
      <c r="G363" s="214">
        <v>0</v>
      </c>
      <c r="H363" s="214">
        <v>0</v>
      </c>
      <c r="I363" s="214">
        <v>0</v>
      </c>
      <c r="J363" s="214">
        <v>0</v>
      </c>
      <c r="K363" s="214">
        <v>0</v>
      </c>
      <c r="L363" s="214">
        <v>0</v>
      </c>
      <c r="M363" s="214">
        <v>0</v>
      </c>
      <c r="N363" s="214">
        <v>0</v>
      </c>
      <c r="O363" s="214">
        <v>0</v>
      </c>
      <c r="P363" s="191"/>
      <c r="Q363" s="191"/>
      <c r="R363" s="191"/>
      <c r="S363" s="191"/>
      <c r="T363" s="191"/>
      <c r="U363" s="191"/>
      <c r="V363" s="191"/>
    </row>
    <row r="364" spans="1:22">
      <c r="A364" s="263"/>
      <c r="B364" s="145" t="s">
        <v>85</v>
      </c>
      <c r="C364" s="214">
        <v>3999.4050000000002</v>
      </c>
      <c r="D364" s="214">
        <v>12288.728999999999</v>
      </c>
      <c r="E364" s="214">
        <v>32691.319</v>
      </c>
      <c r="F364" s="214">
        <v>44180.542999999998</v>
      </c>
      <c r="G364" s="214">
        <v>15518.136</v>
      </c>
      <c r="H364" s="214">
        <v>24732.25</v>
      </c>
      <c r="I364" s="214">
        <v>23063.254000000001</v>
      </c>
      <c r="J364" s="214">
        <v>48982.904000000002</v>
      </c>
      <c r="K364" s="214">
        <v>23862.542000000001</v>
      </c>
      <c r="L364" s="214">
        <v>17546.748</v>
      </c>
      <c r="M364" s="214">
        <v>38043.703000000001</v>
      </c>
      <c r="N364" s="214">
        <v>56388.968000000001</v>
      </c>
      <c r="O364" s="214">
        <v>48777.252999999997</v>
      </c>
      <c r="P364" s="191"/>
      <c r="Q364" s="191"/>
      <c r="R364" s="191"/>
      <c r="S364" s="191"/>
      <c r="T364" s="191"/>
      <c r="U364" s="191"/>
      <c r="V364" s="191"/>
    </row>
    <row r="365" spans="1:22">
      <c r="A365" s="263"/>
      <c r="B365" s="145" t="s">
        <v>287</v>
      </c>
      <c r="C365" s="214">
        <v>0</v>
      </c>
      <c r="D365" s="214">
        <v>0</v>
      </c>
      <c r="E365" s="214">
        <v>0</v>
      </c>
      <c r="F365" s="214">
        <v>0</v>
      </c>
      <c r="G365" s="214">
        <v>0</v>
      </c>
      <c r="H365" s="214">
        <v>0</v>
      </c>
      <c r="I365" s="214">
        <v>0</v>
      </c>
      <c r="J365" s="214">
        <v>0</v>
      </c>
      <c r="K365" s="214">
        <v>0</v>
      </c>
      <c r="L365" s="214">
        <v>42.920999999999999</v>
      </c>
      <c r="M365" s="214">
        <v>23.96</v>
      </c>
      <c r="N365" s="214">
        <v>21.622</v>
      </c>
      <c r="O365" s="214">
        <v>0</v>
      </c>
      <c r="P365" s="191"/>
      <c r="Q365" s="191"/>
      <c r="R365" s="191"/>
      <c r="S365" s="191"/>
      <c r="T365" s="191"/>
      <c r="U365" s="191"/>
      <c r="V365" s="191"/>
    </row>
    <row r="366" spans="1:22">
      <c r="A366" s="263"/>
      <c r="B366" s="145" t="s">
        <v>20</v>
      </c>
      <c r="C366" s="214">
        <v>139.92500000000001</v>
      </c>
      <c r="D366" s="214">
        <v>55.808</v>
      </c>
      <c r="E366" s="214">
        <v>287.654</v>
      </c>
      <c r="F366" s="214">
        <v>1412.165</v>
      </c>
      <c r="G366" s="214">
        <v>121.52500000000001</v>
      </c>
      <c r="H366" s="214">
        <v>258.358</v>
      </c>
      <c r="I366" s="214">
        <v>111.10599999999999</v>
      </c>
      <c r="J366" s="214">
        <v>1125.6949999999999</v>
      </c>
      <c r="K366" s="214">
        <v>712.31700000000001</v>
      </c>
      <c r="L366" s="214">
        <v>365.18</v>
      </c>
      <c r="M366" s="214">
        <v>1415.2339999999999</v>
      </c>
      <c r="N366" s="214">
        <v>183.179</v>
      </c>
      <c r="O366" s="214">
        <v>451.173</v>
      </c>
      <c r="P366" s="191"/>
      <c r="Q366" s="191"/>
      <c r="R366" s="191"/>
      <c r="S366" s="191"/>
      <c r="T366" s="191"/>
      <c r="U366" s="191"/>
      <c r="V366" s="191"/>
    </row>
    <row r="367" spans="1:22">
      <c r="A367" s="263"/>
      <c r="B367" s="145" t="s">
        <v>226</v>
      </c>
      <c r="C367" s="214">
        <v>0</v>
      </c>
      <c r="D367" s="214">
        <v>0</v>
      </c>
      <c r="E367" s="214">
        <v>0</v>
      </c>
      <c r="F367" s="214">
        <v>0</v>
      </c>
      <c r="G367" s="214">
        <v>0</v>
      </c>
      <c r="H367" s="214">
        <v>0</v>
      </c>
      <c r="I367" s="214">
        <v>0</v>
      </c>
      <c r="J367" s="214">
        <v>0</v>
      </c>
      <c r="K367" s="214">
        <v>0</v>
      </c>
      <c r="L367" s="214">
        <v>0</v>
      </c>
      <c r="M367" s="214">
        <v>0</v>
      </c>
      <c r="N367" s="214">
        <v>0</v>
      </c>
      <c r="O367" s="214">
        <v>0</v>
      </c>
      <c r="P367" s="191"/>
      <c r="Q367" s="191"/>
      <c r="R367" s="191"/>
      <c r="S367" s="191"/>
      <c r="T367" s="191"/>
      <c r="U367" s="191"/>
      <c r="V367" s="191"/>
    </row>
    <row r="368" spans="1:22">
      <c r="A368" s="263"/>
      <c r="B368" s="145" t="s">
        <v>93</v>
      </c>
      <c r="C368" s="214">
        <v>0</v>
      </c>
      <c r="D368" s="214">
        <v>0</v>
      </c>
      <c r="E368" s="214">
        <v>0</v>
      </c>
      <c r="F368" s="214">
        <v>0</v>
      </c>
      <c r="G368" s="214">
        <v>0</v>
      </c>
      <c r="H368" s="214">
        <v>0</v>
      </c>
      <c r="I368" s="214">
        <v>0</v>
      </c>
      <c r="J368" s="214">
        <v>0</v>
      </c>
      <c r="K368" s="214">
        <v>0</v>
      </c>
      <c r="L368" s="214">
        <v>0</v>
      </c>
      <c r="M368" s="214">
        <v>0</v>
      </c>
      <c r="N368" s="214">
        <v>0</v>
      </c>
      <c r="O368" s="214">
        <v>0</v>
      </c>
      <c r="P368" s="191"/>
      <c r="Q368" s="191"/>
      <c r="R368" s="191"/>
      <c r="S368" s="191"/>
      <c r="T368" s="191"/>
      <c r="U368" s="191"/>
      <c r="V368" s="191"/>
    </row>
    <row r="369" spans="1:17">
      <c r="A369" s="263"/>
      <c r="B369" s="145" t="s">
        <v>80</v>
      </c>
      <c r="C369" s="214">
        <v>0</v>
      </c>
      <c r="D369" s="214">
        <v>65092.65</v>
      </c>
      <c r="E369" s="214">
        <v>0</v>
      </c>
      <c r="F369" s="214">
        <v>0</v>
      </c>
      <c r="G369" s="214">
        <v>0</v>
      </c>
      <c r="H369" s="214">
        <v>0</v>
      </c>
      <c r="I369" s="214">
        <v>0</v>
      </c>
      <c r="J369" s="214">
        <v>0</v>
      </c>
      <c r="K369" s="214">
        <v>0</v>
      </c>
      <c r="L369" s="214">
        <v>0</v>
      </c>
      <c r="M369" s="214">
        <v>0</v>
      </c>
      <c r="N369" s="214">
        <v>0</v>
      </c>
      <c r="O369" s="214">
        <v>0</v>
      </c>
    </row>
    <row r="370" spans="1:17">
      <c r="A370" s="263"/>
      <c r="B370" s="145" t="s">
        <v>89</v>
      </c>
      <c r="C370" s="214">
        <v>560.625</v>
      </c>
      <c r="D370" s="214">
        <v>97.266000000000005</v>
      </c>
      <c r="E370" s="214">
        <v>22.882000000000001</v>
      </c>
      <c r="F370" s="214">
        <v>335.38299999999998</v>
      </c>
      <c r="G370" s="214">
        <v>170.661</v>
      </c>
      <c r="H370" s="214">
        <v>77.587000000000003</v>
      </c>
      <c r="I370" s="214">
        <v>48.784999999999997</v>
      </c>
      <c r="J370" s="214">
        <v>541.41</v>
      </c>
      <c r="K370" s="214">
        <v>490.61900000000003</v>
      </c>
      <c r="L370" s="214">
        <v>598.42600000000004</v>
      </c>
      <c r="M370" s="214">
        <v>669.4</v>
      </c>
      <c r="N370" s="214">
        <v>1386.989</v>
      </c>
      <c r="O370" s="214">
        <v>1098.56</v>
      </c>
    </row>
    <row r="371" spans="1:17">
      <c r="A371" s="263"/>
      <c r="B371" s="145" t="s">
        <v>94</v>
      </c>
      <c r="C371" s="214">
        <v>0</v>
      </c>
      <c r="D371" s="214">
        <v>235.03200000000001</v>
      </c>
      <c r="E371" s="214">
        <v>0</v>
      </c>
      <c r="F371" s="214">
        <v>0</v>
      </c>
      <c r="G371" s="214">
        <v>291.70400000000001</v>
      </c>
      <c r="H371" s="214">
        <v>0.32300000000000001</v>
      </c>
      <c r="I371" s="214">
        <v>167.35599999999999</v>
      </c>
      <c r="J371" s="214">
        <v>107.09699999999999</v>
      </c>
      <c r="K371" s="214">
        <v>78.733000000000004</v>
      </c>
      <c r="L371" s="214">
        <v>91.48</v>
      </c>
      <c r="M371" s="214">
        <v>168.80799999999999</v>
      </c>
      <c r="N371" s="214">
        <v>378.25400000000002</v>
      </c>
      <c r="O371" s="214">
        <v>0</v>
      </c>
      <c r="P371" s="184">
        <f>O375/C375-1</f>
        <v>-0.14629903647921594</v>
      </c>
      <c r="Q371" s="184">
        <f>(O357+O375)/(C375+C357)-1</f>
        <v>0.22793819026506545</v>
      </c>
    </row>
    <row r="372" spans="1:17">
      <c r="A372" s="263"/>
      <c r="B372" s="145" t="s">
        <v>86</v>
      </c>
      <c r="C372" s="214">
        <v>31670.609</v>
      </c>
      <c r="D372" s="214">
        <v>17134.014999999999</v>
      </c>
      <c r="E372" s="214">
        <v>968.15700000000004</v>
      </c>
      <c r="F372" s="214">
        <v>163.08600000000001</v>
      </c>
      <c r="G372" s="214">
        <v>675.24599999999998</v>
      </c>
      <c r="H372" s="214">
        <v>1357.9770000000001</v>
      </c>
      <c r="I372" s="214">
        <v>504.74200000000002</v>
      </c>
      <c r="J372" s="214">
        <v>5828.8280000000004</v>
      </c>
      <c r="K372" s="214">
        <v>8387.5049999999992</v>
      </c>
      <c r="L372" s="214">
        <v>11010.724</v>
      </c>
      <c r="M372" s="214">
        <v>10833.011</v>
      </c>
      <c r="N372" s="214">
        <v>4597.1080000000002</v>
      </c>
      <c r="O372" s="214">
        <v>3494.25</v>
      </c>
    </row>
    <row r="373" spans="1:17">
      <c r="A373" s="263"/>
      <c r="B373" s="145" t="s">
        <v>87</v>
      </c>
      <c r="C373" s="214">
        <v>13214.049000000001</v>
      </c>
      <c r="D373" s="214">
        <v>4971.4070000000002</v>
      </c>
      <c r="E373" s="214">
        <v>287.63900000000001</v>
      </c>
      <c r="F373" s="214">
        <v>136.88300000000001</v>
      </c>
      <c r="G373" s="214">
        <v>466.6</v>
      </c>
      <c r="H373" s="214">
        <v>1117.1780000000001</v>
      </c>
      <c r="I373" s="214">
        <v>595.601</v>
      </c>
      <c r="J373" s="214">
        <v>6543.5209999999997</v>
      </c>
      <c r="K373" s="214">
        <v>12018.695</v>
      </c>
      <c r="L373" s="214">
        <v>10891.841</v>
      </c>
      <c r="M373" s="214">
        <v>5665.9579999999996</v>
      </c>
      <c r="N373" s="214">
        <v>13777.802</v>
      </c>
      <c r="O373" s="214">
        <v>8693.5400000000009</v>
      </c>
    </row>
    <row r="374" spans="1:17">
      <c r="A374" s="263"/>
      <c r="B374" s="145" t="s">
        <v>84</v>
      </c>
      <c r="C374" s="214">
        <v>1776.567</v>
      </c>
      <c r="D374" s="214">
        <v>695.21699999999998</v>
      </c>
      <c r="E374" s="214">
        <v>6902.5</v>
      </c>
      <c r="F374" s="214">
        <v>470.8</v>
      </c>
      <c r="G374" s="214">
        <v>0</v>
      </c>
      <c r="H374" s="214">
        <v>1146.375</v>
      </c>
      <c r="I374" s="214">
        <v>4757.4750000000004</v>
      </c>
      <c r="J374" s="214">
        <v>4314.3549999999996</v>
      </c>
      <c r="K374" s="214">
        <v>157.5</v>
      </c>
      <c r="L374" s="214">
        <v>0</v>
      </c>
      <c r="M374" s="214">
        <v>1978.1659999999999</v>
      </c>
      <c r="N374" s="214">
        <v>0</v>
      </c>
      <c r="O374" s="214">
        <v>996.77499999999998</v>
      </c>
    </row>
    <row r="375" spans="1:17">
      <c r="A375" s="264"/>
      <c r="B375" s="215" t="s">
        <v>0</v>
      </c>
      <c r="C375" s="216">
        <v>80217.678</v>
      </c>
      <c r="D375" s="216">
        <v>140860.44</v>
      </c>
      <c r="E375" s="216">
        <v>60333.495000000003</v>
      </c>
      <c r="F375" s="216">
        <v>70216.553</v>
      </c>
      <c r="G375" s="216">
        <v>46722.523999999998</v>
      </c>
      <c r="H375" s="216">
        <v>46337.284</v>
      </c>
      <c r="I375" s="216">
        <v>34769.385999999999</v>
      </c>
      <c r="J375" s="216">
        <v>74553.400999999998</v>
      </c>
      <c r="K375" s="216">
        <v>54570.563000000002</v>
      </c>
      <c r="L375" s="216">
        <v>44994.226000000002</v>
      </c>
      <c r="M375" s="216">
        <v>67781.478000000003</v>
      </c>
      <c r="N375" s="216">
        <v>85991.698000000004</v>
      </c>
      <c r="O375" s="216">
        <v>68481.909</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280</v>
      </c>
    </row>
    <row r="390" spans="1:15">
      <c r="B390" s="169" t="str">
        <f>MID(B391,6,1)</f>
        <v>S</v>
      </c>
      <c r="C390" s="169" t="str">
        <f t="shared" ref="C390:N390" si="12">MID(C391,6,1)</f>
        <v>O</v>
      </c>
      <c r="D390" s="169" t="str">
        <f t="shared" si="12"/>
        <v>N</v>
      </c>
      <c r="E390" s="169" t="str">
        <f t="shared" si="12"/>
        <v>D</v>
      </c>
      <c r="F390" s="169" t="str">
        <f t="shared" si="12"/>
        <v>E</v>
      </c>
      <c r="G390" s="169" t="str">
        <f t="shared" si="12"/>
        <v>F</v>
      </c>
      <c r="H390" s="169" t="str">
        <f t="shared" si="12"/>
        <v>M</v>
      </c>
      <c r="I390" s="169" t="str">
        <f t="shared" si="12"/>
        <v>A</v>
      </c>
      <c r="J390" s="169" t="str">
        <f t="shared" si="12"/>
        <v>M</v>
      </c>
      <c r="K390" s="169" t="str">
        <f t="shared" si="12"/>
        <v>J</v>
      </c>
      <c r="L390" s="169" t="str">
        <f t="shared" si="12"/>
        <v>J</v>
      </c>
      <c r="M390" s="169" t="str">
        <f t="shared" si="12"/>
        <v>A</v>
      </c>
      <c r="N390" s="169" t="str">
        <f t="shared" si="12"/>
        <v>S</v>
      </c>
    </row>
    <row r="391" spans="1:15">
      <c r="A391" s="143" t="s">
        <v>95</v>
      </c>
      <c r="B391" s="249" t="s">
        <v>267</v>
      </c>
      <c r="C391" s="249" t="s">
        <v>270</v>
      </c>
      <c r="D391" s="249" t="s">
        <v>273</v>
      </c>
      <c r="E391" s="249" t="s">
        <v>274</v>
      </c>
      <c r="F391" s="249" t="s">
        <v>276</v>
      </c>
      <c r="G391" s="249" t="s">
        <v>278</v>
      </c>
      <c r="H391" s="249" t="s">
        <v>281</v>
      </c>
      <c r="I391" s="249" t="s">
        <v>285</v>
      </c>
      <c r="J391" s="249" t="s">
        <v>289</v>
      </c>
      <c r="K391" s="249" t="s">
        <v>291</v>
      </c>
      <c r="L391" s="249" t="s">
        <v>293</v>
      </c>
      <c r="M391" s="249" t="s">
        <v>295</v>
      </c>
      <c r="N391" s="249" t="s">
        <v>327</v>
      </c>
    </row>
    <row r="392" spans="1:15">
      <c r="A392" s="143" t="s">
        <v>28</v>
      </c>
      <c r="B392" s="170"/>
      <c r="C392" s="170"/>
      <c r="D392" s="170"/>
      <c r="E392" s="170"/>
      <c r="F392" s="170"/>
      <c r="G392" s="170"/>
      <c r="H392" s="170"/>
      <c r="I392" s="170"/>
      <c r="J392" s="170"/>
      <c r="K392" s="170"/>
      <c r="L392" s="170"/>
      <c r="M392" s="170"/>
      <c r="N392" s="170"/>
    </row>
    <row r="393" spans="1:15">
      <c r="A393" s="145" t="s">
        <v>216</v>
      </c>
      <c r="B393" s="243">
        <v>30548.858</v>
      </c>
      <c r="C393" s="243">
        <v>29403.534</v>
      </c>
      <c r="D393" s="243">
        <v>36957.866000000002</v>
      </c>
      <c r="E393" s="243">
        <v>29226.366000000002</v>
      </c>
      <c r="F393" s="243">
        <v>33579.313999999998</v>
      </c>
      <c r="G393" s="243">
        <v>37013.466999999997</v>
      </c>
      <c r="H393" s="243">
        <v>48075.601000000002</v>
      </c>
      <c r="I393" s="243">
        <v>48279.934000000001</v>
      </c>
      <c r="J393" s="243">
        <v>40829.029000000002</v>
      </c>
      <c r="K393" s="243">
        <v>25415.793000000001</v>
      </c>
      <c r="L393" s="243">
        <v>21564.28</v>
      </c>
      <c r="M393" s="243">
        <v>22923.624</v>
      </c>
      <c r="N393" s="243">
        <v>30495.718000000001</v>
      </c>
    </row>
    <row r="394" spans="1:15">
      <c r="A394" s="145" t="s">
        <v>217</v>
      </c>
      <c r="B394" s="243">
        <v>50930.133999999998</v>
      </c>
      <c r="C394" s="243">
        <v>53059.012999999999</v>
      </c>
      <c r="D394" s="243">
        <v>36733.107000000004</v>
      </c>
      <c r="E394" s="243">
        <v>43557.428999999996</v>
      </c>
      <c r="F394" s="243">
        <v>42940.298999999999</v>
      </c>
      <c r="G394" s="243">
        <v>20128.651000000002</v>
      </c>
      <c r="H394" s="243">
        <v>27686.833999999999</v>
      </c>
      <c r="I394" s="243">
        <v>37797.379999999997</v>
      </c>
      <c r="J394" s="243">
        <v>49598.798000000003</v>
      </c>
      <c r="K394" s="243">
        <v>52468.745000000003</v>
      </c>
      <c r="L394" s="243">
        <v>56804.675000000003</v>
      </c>
      <c r="M394" s="243">
        <v>50694.324000000001</v>
      </c>
      <c r="N394" s="243">
        <v>45030.47</v>
      </c>
    </row>
    <row r="395" spans="1:15">
      <c r="A395" s="175" t="s">
        <v>215</v>
      </c>
      <c r="B395" s="178">
        <f t="shared" ref="B395:N395" si="13">SUM(B393:B394)</f>
        <v>81478.991999999998</v>
      </c>
      <c r="C395" s="178">
        <f t="shared" si="13"/>
        <v>82462.546999999991</v>
      </c>
      <c r="D395" s="178">
        <f t="shared" si="13"/>
        <v>73690.972999999998</v>
      </c>
      <c r="E395" s="178">
        <f t="shared" si="13"/>
        <v>72783.794999999998</v>
      </c>
      <c r="F395" s="178">
        <f t="shared" si="13"/>
        <v>76519.612999999998</v>
      </c>
      <c r="G395" s="178">
        <f t="shared" si="13"/>
        <v>57142.118000000002</v>
      </c>
      <c r="H395" s="178">
        <f t="shared" si="13"/>
        <v>75762.434999999998</v>
      </c>
      <c r="I395" s="178">
        <f t="shared" si="13"/>
        <v>86077.313999999998</v>
      </c>
      <c r="J395" s="178">
        <f t="shared" si="13"/>
        <v>90427.827000000005</v>
      </c>
      <c r="K395" s="178">
        <f t="shared" si="13"/>
        <v>77884.538</v>
      </c>
      <c r="L395" s="178">
        <f t="shared" si="13"/>
        <v>78368.955000000002</v>
      </c>
      <c r="M395" s="178">
        <f t="shared" si="13"/>
        <v>73617.948000000004</v>
      </c>
      <c r="N395" s="178">
        <f t="shared" si="13"/>
        <v>75526.187999999995</v>
      </c>
    </row>
    <row r="396" spans="1:15">
      <c r="A396" s="145"/>
    </row>
    <row r="397" spans="1:15">
      <c r="A397" s="145"/>
    </row>
    <row r="398" spans="1:15">
      <c r="A398" s="88" t="s">
        <v>220</v>
      </c>
    </row>
    <row r="399" spans="1:15">
      <c r="A399" s="88" t="s">
        <v>221</v>
      </c>
    </row>
    <row r="400" spans="1:15">
      <c r="A400" s="143"/>
      <c r="B400" s="143" t="s">
        <v>28</v>
      </c>
      <c r="C400" s="258" t="s">
        <v>254</v>
      </c>
      <c r="D400" s="259"/>
      <c r="E400" s="259"/>
      <c r="F400" s="259"/>
      <c r="G400" s="259"/>
      <c r="H400" s="259"/>
      <c r="I400" s="259"/>
      <c r="J400" s="259"/>
      <c r="K400" s="259"/>
      <c r="L400" s="259"/>
      <c r="M400" s="259"/>
      <c r="N400" s="259"/>
      <c r="O400" s="259"/>
    </row>
    <row r="401" spans="1:18">
      <c r="A401" s="143"/>
      <c r="B401" s="143" t="s">
        <v>95</v>
      </c>
      <c r="C401" s="249" t="s">
        <v>267</v>
      </c>
      <c r="D401" s="249" t="s">
        <v>270</v>
      </c>
      <c r="E401" s="249" t="s">
        <v>273</v>
      </c>
      <c r="F401" s="249" t="s">
        <v>274</v>
      </c>
      <c r="G401" s="249" t="s">
        <v>276</v>
      </c>
      <c r="H401" s="249" t="s">
        <v>278</v>
      </c>
      <c r="I401" s="249" t="s">
        <v>281</v>
      </c>
      <c r="J401" s="249" t="s">
        <v>285</v>
      </c>
      <c r="K401" s="249" t="s">
        <v>289</v>
      </c>
      <c r="L401" s="249" t="s">
        <v>291</v>
      </c>
      <c r="M401" s="249" t="s">
        <v>293</v>
      </c>
      <c r="N401" s="249" t="s">
        <v>295</v>
      </c>
      <c r="O401" s="249" t="s">
        <v>327</v>
      </c>
    </row>
    <row r="402" spans="1:18">
      <c r="A402" s="143" t="s">
        <v>128</v>
      </c>
      <c r="B402" s="143" t="s">
        <v>255</v>
      </c>
      <c r="C402" s="170"/>
      <c r="D402" s="170"/>
      <c r="E402" s="170"/>
      <c r="F402" s="170"/>
      <c r="G402" s="170"/>
      <c r="H402" s="170"/>
      <c r="I402" s="170"/>
      <c r="J402" s="170"/>
      <c r="K402" s="170"/>
      <c r="L402" s="170"/>
      <c r="M402" s="170"/>
      <c r="N402" s="170"/>
      <c r="O402" s="170"/>
    </row>
    <row r="403" spans="1:18">
      <c r="A403" s="262" t="s">
        <v>79</v>
      </c>
      <c r="B403" s="145" t="s">
        <v>179</v>
      </c>
      <c r="C403" s="243">
        <v>165.89159940740001</v>
      </c>
      <c r="D403" s="243">
        <v>182.64758901440001</v>
      </c>
      <c r="E403" s="243">
        <v>172.70362826269999</v>
      </c>
      <c r="F403" s="243">
        <v>155.29074767029999</v>
      </c>
      <c r="G403" s="243">
        <v>155.13578439770001</v>
      </c>
      <c r="H403" s="243">
        <v>131.86444546679999</v>
      </c>
      <c r="I403" s="243">
        <v>100.0149203691</v>
      </c>
      <c r="J403" s="243">
        <v>93.258906953199997</v>
      </c>
      <c r="K403" s="243">
        <v>114.750116874</v>
      </c>
      <c r="L403" s="243">
        <v>119.53299055479999</v>
      </c>
      <c r="M403" s="243">
        <v>142.29953853699999</v>
      </c>
      <c r="N403" s="243">
        <v>169.8250358736</v>
      </c>
      <c r="O403" s="243">
        <v>155.87385113639999</v>
      </c>
      <c r="P403" s="185">
        <f>O403/C403-1</f>
        <v>-6.0387315010437814E-2</v>
      </c>
    </row>
    <row r="404" spans="1:18">
      <c r="A404" s="264"/>
      <c r="B404" s="145" t="s">
        <v>183</v>
      </c>
      <c r="C404" s="243">
        <v>299.75784652940001</v>
      </c>
      <c r="D404" s="243">
        <v>328.83343604970003</v>
      </c>
      <c r="E404" s="243">
        <v>264.71152680099999</v>
      </c>
      <c r="F404" s="243">
        <v>234.13329488639999</v>
      </c>
      <c r="G404" s="243">
        <v>223.77072503209999</v>
      </c>
      <c r="H404" s="243">
        <v>201.7554948396</v>
      </c>
      <c r="I404" s="243">
        <v>195.07445574880001</v>
      </c>
      <c r="J404" s="243">
        <v>207.7302818828</v>
      </c>
      <c r="K404" s="243">
        <v>240.31007922480001</v>
      </c>
      <c r="L404" s="243">
        <v>243.8197242377</v>
      </c>
      <c r="M404" s="243">
        <v>225.21968150449999</v>
      </c>
      <c r="N404" s="243">
        <v>235.4195962709</v>
      </c>
      <c r="O404" s="243">
        <v>250.26107801800001</v>
      </c>
      <c r="P404" s="185">
        <f>O404/C404-1</f>
        <v>-0.16512251166891612</v>
      </c>
    </row>
    <row r="405" spans="1:18">
      <c r="A405" s="265" t="s">
        <v>83</v>
      </c>
      <c r="B405" s="145" t="s">
        <v>179</v>
      </c>
      <c r="C405" s="243">
        <v>95.368364084600003</v>
      </c>
      <c r="D405" s="243">
        <v>79.384420510400005</v>
      </c>
      <c r="E405" s="243">
        <v>57.842544938099998</v>
      </c>
      <c r="F405" s="243">
        <v>63.624911561700003</v>
      </c>
      <c r="G405" s="243">
        <v>63.564597305100001</v>
      </c>
      <c r="H405" s="243">
        <v>33.649477987399997</v>
      </c>
      <c r="I405" s="243">
        <v>10.5530860804</v>
      </c>
      <c r="J405" s="243">
        <v>4.7369239244000001</v>
      </c>
      <c r="K405" s="243">
        <v>18.889523041299999</v>
      </c>
      <c r="L405" s="243">
        <v>35.244959526499997</v>
      </c>
      <c r="M405" s="243">
        <v>63.399845817299997</v>
      </c>
      <c r="N405" s="243">
        <v>86.755411534900006</v>
      </c>
      <c r="O405" s="243">
        <v>67.661076487499997</v>
      </c>
      <c r="P405" s="185">
        <f>O405/C405-1</f>
        <v>-0.29052912737940273</v>
      </c>
    </row>
    <row r="406" spans="1:18">
      <c r="A406" s="264"/>
      <c r="B406" s="145" t="s">
        <v>183</v>
      </c>
      <c r="C406" s="243">
        <v>20.7337007699</v>
      </c>
      <c r="D406" s="243">
        <v>19.595284660299999</v>
      </c>
      <c r="E406" s="243">
        <v>14.548145822</v>
      </c>
      <c r="F406" s="243">
        <v>13.603288389299999</v>
      </c>
      <c r="G406" s="243">
        <v>22.633838069100001</v>
      </c>
      <c r="H406" s="243">
        <v>2.4752993094</v>
      </c>
      <c r="I406" s="243">
        <v>-2.1492703556000001</v>
      </c>
      <c r="J406" s="243">
        <v>-80.875709114200006</v>
      </c>
      <c r="K406" s="243">
        <v>-11.2316371219</v>
      </c>
      <c r="L406" s="243">
        <v>-18.632218680099999</v>
      </c>
      <c r="M406" s="243">
        <v>-12.944409784399999</v>
      </c>
      <c r="N406" s="243">
        <v>-13.1817331304</v>
      </c>
      <c r="O406" s="243">
        <v>-18.372193450400001</v>
      </c>
      <c r="P406" s="185">
        <f>O406/C406-1</f>
        <v>-1.8861029516289585</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222</v>
      </c>
    </row>
    <row r="410" spans="1:18">
      <c r="A410" s="143"/>
      <c r="B410" s="143" t="s">
        <v>28</v>
      </c>
      <c r="C410" s="258" t="s">
        <v>189</v>
      </c>
      <c r="D410" s="259"/>
      <c r="E410" s="259"/>
      <c r="F410" s="259"/>
      <c r="G410" s="259"/>
      <c r="H410" s="259"/>
      <c r="I410" s="259"/>
      <c r="J410" s="259"/>
      <c r="K410" s="259"/>
      <c r="L410" s="259"/>
      <c r="M410" s="259"/>
      <c r="N410" s="259"/>
      <c r="O410" s="259"/>
    </row>
    <row r="411" spans="1:18">
      <c r="A411" s="143"/>
      <c r="B411" s="143" t="s">
        <v>95</v>
      </c>
      <c r="C411" s="249" t="s">
        <v>267</v>
      </c>
      <c r="D411" s="249" t="s">
        <v>270</v>
      </c>
      <c r="E411" s="249" t="s">
        <v>273</v>
      </c>
      <c r="F411" s="249" t="s">
        <v>274</v>
      </c>
      <c r="G411" s="249" t="s">
        <v>276</v>
      </c>
      <c r="H411" s="249" t="s">
        <v>278</v>
      </c>
      <c r="I411" s="249" t="s">
        <v>281</v>
      </c>
      <c r="J411" s="249" t="s">
        <v>285</v>
      </c>
      <c r="K411" s="249" t="s">
        <v>289</v>
      </c>
      <c r="L411" s="249" t="s">
        <v>291</v>
      </c>
      <c r="M411" s="249" t="s">
        <v>293</v>
      </c>
      <c r="N411" s="249" t="s">
        <v>295</v>
      </c>
      <c r="O411" s="249" t="s">
        <v>327</v>
      </c>
    </row>
    <row r="412" spans="1:18">
      <c r="A412" s="143" t="s">
        <v>128</v>
      </c>
      <c r="B412" s="143" t="s">
        <v>257</v>
      </c>
      <c r="C412" s="170"/>
      <c r="D412" s="170"/>
      <c r="E412" s="170"/>
      <c r="F412" s="170"/>
      <c r="G412" s="170"/>
      <c r="H412" s="170"/>
      <c r="I412" s="170"/>
      <c r="J412" s="170"/>
      <c r="K412" s="170"/>
      <c r="L412" s="170"/>
      <c r="M412" s="170"/>
      <c r="N412" s="170"/>
      <c r="O412" s="170"/>
    </row>
    <row r="413" spans="1:18">
      <c r="A413" s="262" t="s">
        <v>79</v>
      </c>
      <c r="B413" s="145" t="s">
        <v>180</v>
      </c>
      <c r="C413" s="243">
        <v>27.827466568599998</v>
      </c>
      <c r="D413" s="243">
        <v>42.991678298499998</v>
      </c>
      <c r="E413" s="243">
        <v>35.154613379099999</v>
      </c>
      <c r="F413" s="243">
        <v>32.306981178199997</v>
      </c>
      <c r="G413" s="243">
        <v>34.116235347100002</v>
      </c>
      <c r="H413" s="243">
        <v>30.391169692999998</v>
      </c>
      <c r="I413" s="243">
        <v>27.609046432</v>
      </c>
      <c r="J413" s="243">
        <v>24.197217951799999</v>
      </c>
      <c r="K413" s="243">
        <v>28.805418648700002</v>
      </c>
      <c r="L413" s="243">
        <v>46.174349017799997</v>
      </c>
      <c r="M413" s="243">
        <v>28.550093757900001</v>
      </c>
      <c r="N413" s="243">
        <v>27.663462874099999</v>
      </c>
      <c r="O413" s="243">
        <v>32.211216648799997</v>
      </c>
      <c r="P413" s="185">
        <f>O413/C413-1</f>
        <v>0.15753320804081183</v>
      </c>
    </row>
    <row r="414" spans="1:18">
      <c r="A414" s="263"/>
      <c r="B414" s="145" t="s">
        <v>181</v>
      </c>
      <c r="C414" s="243">
        <v>115.7818378377</v>
      </c>
      <c r="D414" s="243">
        <v>100.7681475224</v>
      </c>
      <c r="E414" s="243">
        <v>80.643993401700001</v>
      </c>
      <c r="F414" s="243">
        <v>89.965627123999994</v>
      </c>
      <c r="G414" s="243">
        <v>87.041140710500002</v>
      </c>
      <c r="H414" s="243">
        <v>49.255281875999998</v>
      </c>
      <c r="I414" s="243">
        <v>25.498564616199999</v>
      </c>
      <c r="J414" s="243">
        <v>23.263243803999998</v>
      </c>
      <c r="K414" s="243">
        <v>51.878559897800002</v>
      </c>
      <c r="L414" s="243">
        <v>79.512672150699998</v>
      </c>
      <c r="M414" s="243">
        <v>86.649319574299994</v>
      </c>
      <c r="N414" s="243">
        <v>102.8039265768</v>
      </c>
      <c r="O414" s="243">
        <v>88.768818947499994</v>
      </c>
      <c r="P414" s="185">
        <f>O414/C414-1</f>
        <v>-0.23330963987690501</v>
      </c>
    </row>
    <row r="415" spans="1:18">
      <c r="A415" s="263"/>
      <c r="B415" s="145" t="s">
        <v>256</v>
      </c>
      <c r="C415" s="243">
        <v>122.48809194739999</v>
      </c>
      <c r="D415" s="243">
        <v>120.59056698969999</v>
      </c>
      <c r="E415" s="243">
        <v>76.701016102200001</v>
      </c>
      <c r="F415" s="243">
        <v>91.662085788300004</v>
      </c>
      <c r="G415" s="243">
        <v>101.4055087979</v>
      </c>
      <c r="H415" s="243">
        <v>54.715808582599998</v>
      </c>
      <c r="I415" s="243">
        <v>16.668427916500001</v>
      </c>
      <c r="J415" s="243">
        <v>43.211302561700002</v>
      </c>
      <c r="K415" s="243">
        <v>60.628175665999997</v>
      </c>
      <c r="L415" s="243">
        <v>89.108096908600004</v>
      </c>
      <c r="M415" s="243">
        <v>97.5221057535</v>
      </c>
      <c r="N415" s="243">
        <v>115.105830533</v>
      </c>
      <c r="O415" s="243">
        <v>110.71596343</v>
      </c>
      <c r="P415" s="185">
        <f>O415/C415-1</f>
        <v>-9.6108350862835645E-2</v>
      </c>
    </row>
    <row r="416" spans="1:18">
      <c r="A416" s="264"/>
      <c r="B416" s="145" t="s">
        <v>182</v>
      </c>
      <c r="C416" s="243">
        <v>126.5209824362</v>
      </c>
      <c r="D416" s="243">
        <v>115.6965534019</v>
      </c>
      <c r="E416" s="243">
        <v>75.769234619800002</v>
      </c>
      <c r="F416" s="243">
        <v>95.5795926049</v>
      </c>
      <c r="G416" s="243">
        <v>96.015566196199998</v>
      </c>
      <c r="H416" s="243">
        <v>58.407531980800002</v>
      </c>
      <c r="I416" s="243">
        <v>23.9411482786</v>
      </c>
      <c r="J416" s="243">
        <v>32.900009541700001</v>
      </c>
      <c r="K416" s="243">
        <v>64.074680799000006</v>
      </c>
      <c r="L416" s="243">
        <v>93.701156764000004</v>
      </c>
      <c r="M416" s="243">
        <v>97.325009448100005</v>
      </c>
      <c r="N416" s="243">
        <v>114.6892769159</v>
      </c>
      <c r="O416" s="243">
        <v>106.6717990865</v>
      </c>
      <c r="P416" s="185">
        <f>O416/C416-1</f>
        <v>-0.15688451802616399</v>
      </c>
      <c r="R416" s="204">
        <v>147.141711762314</v>
      </c>
    </row>
    <row r="417" spans="1:19">
      <c r="A417" s="265" t="s">
        <v>83</v>
      </c>
      <c r="B417" s="145" t="s">
        <v>180</v>
      </c>
      <c r="C417" s="243"/>
      <c r="D417" s="243"/>
      <c r="E417" s="243"/>
      <c r="F417" s="243"/>
      <c r="G417" s="243"/>
      <c r="H417" s="243"/>
      <c r="I417" s="243"/>
      <c r="J417" s="243"/>
      <c r="K417" s="243"/>
      <c r="L417" s="243"/>
      <c r="M417" s="243"/>
      <c r="N417" s="243"/>
      <c r="O417" s="243"/>
      <c r="P417" s="183"/>
    </row>
    <row r="418" spans="1:19">
      <c r="A418" s="263"/>
      <c r="B418" s="145" t="s">
        <v>181</v>
      </c>
      <c r="C418" s="243">
        <v>70.620135029300002</v>
      </c>
      <c r="D418" s="243">
        <v>61.346168994599999</v>
      </c>
      <c r="E418" s="243">
        <v>30.819612238800001</v>
      </c>
      <c r="F418" s="243">
        <v>43.072149949999996</v>
      </c>
      <c r="G418" s="243">
        <v>41.148505531200001</v>
      </c>
      <c r="H418" s="243">
        <v>12.454618358099999</v>
      </c>
      <c r="I418" s="243">
        <v>6.3259059483</v>
      </c>
      <c r="J418" s="243">
        <v>-82.978499038799995</v>
      </c>
      <c r="K418" s="243">
        <v>8.8440810864999992</v>
      </c>
      <c r="L418" s="243">
        <v>25.188011158999998</v>
      </c>
      <c r="M418" s="243">
        <v>46.176107250699999</v>
      </c>
      <c r="N418" s="243">
        <v>52.021473464800003</v>
      </c>
      <c r="O418" s="243">
        <v>33.235310798100002</v>
      </c>
      <c r="P418" s="185">
        <f>O418/C418-1</f>
        <v>-0.52937911001854054</v>
      </c>
    </row>
    <row r="419" spans="1:19">
      <c r="A419" s="263"/>
      <c r="B419" s="145" t="s">
        <v>256</v>
      </c>
      <c r="C419" s="243">
        <v>58.8299594</v>
      </c>
      <c r="D419" s="243">
        <v>44.197735484399999</v>
      </c>
      <c r="E419" s="243">
        <v>36.370437152000001</v>
      </c>
      <c r="F419" s="243">
        <v>38.265524095400004</v>
      </c>
      <c r="G419" s="243">
        <v>32.455270508300003</v>
      </c>
      <c r="H419" s="243">
        <v>13.559000728199999</v>
      </c>
      <c r="I419" s="243">
        <v>5.6187015046999997</v>
      </c>
      <c r="J419" s="243">
        <v>-22.445101460299998</v>
      </c>
      <c r="K419" s="243">
        <v>0.64371816849999997</v>
      </c>
      <c r="L419" s="243">
        <v>8.7326280057000005</v>
      </c>
      <c r="M419" s="243">
        <v>21.612704861400001</v>
      </c>
      <c r="N419" s="243">
        <v>31.9436785561</v>
      </c>
      <c r="O419" s="243">
        <v>25.912088802</v>
      </c>
      <c r="P419" s="185">
        <f>O419/C419-1</f>
        <v>-0.55954263667229387</v>
      </c>
    </row>
    <row r="420" spans="1:19">
      <c r="A420" s="264"/>
      <c r="B420" s="145" t="s">
        <v>182</v>
      </c>
      <c r="C420" s="243">
        <v>51.570766712100003</v>
      </c>
      <c r="D420" s="243">
        <v>37.481090010800003</v>
      </c>
      <c r="E420" s="243">
        <v>24.376215575900002</v>
      </c>
      <c r="F420" s="243">
        <v>29.107989569000001</v>
      </c>
      <c r="G420" s="243">
        <v>20.3539588262</v>
      </c>
      <c r="H420" s="243">
        <v>7.2868159629999996</v>
      </c>
      <c r="I420" s="243">
        <v>-5.5617885725000002</v>
      </c>
      <c r="J420" s="243">
        <v>-52.450720009299999</v>
      </c>
      <c r="K420" s="243">
        <v>-2.1895631825000001</v>
      </c>
      <c r="L420" s="243">
        <v>15.1893099732</v>
      </c>
      <c r="M420" s="243">
        <v>22.072287538600001</v>
      </c>
      <c r="N420" s="243">
        <v>35.264518477099998</v>
      </c>
      <c r="O420" s="243">
        <v>14.2514126045</v>
      </c>
      <c r="P420" s="185">
        <f>O420/C420-1</f>
        <v>-0.7236532727143612</v>
      </c>
      <c r="R420" s="205">
        <v>39.372424399301003</v>
      </c>
    </row>
    <row r="421" spans="1:19">
      <c r="A421" s="234"/>
      <c r="B421" s="234"/>
      <c r="C421" s="234"/>
      <c r="D421" s="234"/>
      <c r="E421" s="234"/>
      <c r="F421" s="234"/>
      <c r="G421" s="234"/>
      <c r="H421" s="234"/>
      <c r="I421" s="234"/>
      <c r="J421" s="234"/>
      <c r="K421" s="234"/>
      <c r="L421" s="234"/>
      <c r="M421" s="234"/>
      <c r="N421" s="234"/>
      <c r="O421" s="234"/>
      <c r="P421" s="234"/>
      <c r="Q421" s="234"/>
      <c r="R421" s="234"/>
      <c r="S421" s="234"/>
    </row>
    <row r="422" spans="1:19">
      <c r="A422" s="235"/>
      <c r="B422" s="235"/>
      <c r="C422" s="235"/>
      <c r="D422" s="235"/>
      <c r="E422" s="235"/>
      <c r="F422" s="235"/>
      <c r="G422" s="235"/>
      <c r="H422" s="235"/>
      <c r="I422" s="235"/>
      <c r="J422" s="235"/>
      <c r="K422" s="235"/>
      <c r="L422" s="235"/>
      <c r="M422" s="235"/>
      <c r="N422" s="235"/>
      <c r="O422" s="235"/>
      <c r="P422" s="235"/>
      <c r="Q422" s="235"/>
      <c r="R422" s="235"/>
      <c r="S422" s="235"/>
    </row>
    <row r="423" spans="1:19">
      <c r="C423" s="202"/>
      <c r="D423" s="202"/>
      <c r="E423" s="202"/>
      <c r="F423" s="202"/>
      <c r="G423" s="202"/>
      <c r="H423" s="202"/>
      <c r="I423" s="202"/>
      <c r="J423" s="202"/>
      <c r="K423" s="202"/>
      <c r="L423" s="202"/>
      <c r="M423" s="202"/>
      <c r="N423" s="202"/>
      <c r="O423" s="202"/>
    </row>
    <row r="424" spans="1:19" s="130" customFormat="1" ht="15">
      <c r="B424" s="131" t="s">
        <v>144</v>
      </c>
      <c r="C424" s="132"/>
      <c r="D424" s="132"/>
      <c r="E424" s="132"/>
      <c r="F424" s="132"/>
      <c r="G424" s="132"/>
      <c r="H424" s="132"/>
      <c r="I424" s="132"/>
      <c r="J424" s="132"/>
    </row>
    <row r="425" spans="1:19" ht="33.75">
      <c r="A425" s="181"/>
      <c r="B425" s="181"/>
      <c r="C425" s="182" t="s">
        <v>20</v>
      </c>
      <c r="D425" s="182" t="s">
        <v>39</v>
      </c>
      <c r="E425" s="182" t="s">
        <v>40</v>
      </c>
      <c r="F425" s="182" t="s">
        <v>41</v>
      </c>
      <c r="G425" s="182" t="s">
        <v>24</v>
      </c>
      <c r="H425" s="182" t="s">
        <v>245</v>
      </c>
      <c r="I425" s="182" t="s">
        <v>42</v>
      </c>
      <c r="J425" s="182" t="s">
        <v>43</v>
      </c>
      <c r="K425" s="182" t="s">
        <v>244</v>
      </c>
      <c r="L425" s="130"/>
    </row>
    <row r="426" spans="1:19" ht="14.25">
      <c r="A426" s="176" t="s">
        <v>10</v>
      </c>
      <c r="B426" s="16" t="s">
        <v>268</v>
      </c>
      <c r="C426" s="48">
        <v>31.7361111111111</v>
      </c>
      <c r="D426" s="48">
        <v>7.9398148148148149</v>
      </c>
      <c r="E426" s="48">
        <v>0</v>
      </c>
      <c r="F426" s="48">
        <v>0</v>
      </c>
      <c r="G426" s="48">
        <v>28.611111111111111</v>
      </c>
      <c r="H426" s="48">
        <v>0.46296296296296297</v>
      </c>
      <c r="I426" s="48">
        <v>0</v>
      </c>
      <c r="J426" s="48">
        <v>31.250000000000007</v>
      </c>
      <c r="K426" s="51">
        <v>0</v>
      </c>
      <c r="L426" s="130"/>
    </row>
    <row r="427" spans="1:19" ht="14.25">
      <c r="A427" s="176" t="s">
        <v>11</v>
      </c>
      <c r="B427" s="16" t="s">
        <v>271</v>
      </c>
      <c r="C427" s="48">
        <v>39.784946236559136</v>
      </c>
      <c r="D427" s="48">
        <v>13.172043010752688</v>
      </c>
      <c r="E427" s="48">
        <v>0</v>
      </c>
      <c r="F427" s="48">
        <v>0.13440860215053765</v>
      </c>
      <c r="G427" s="48">
        <v>16.061827956989248</v>
      </c>
      <c r="H427" s="48">
        <v>0.49283154121863793</v>
      </c>
      <c r="I427" s="48">
        <v>0</v>
      </c>
      <c r="J427" s="48">
        <v>30.353942652329753</v>
      </c>
      <c r="K427" s="51">
        <v>0</v>
      </c>
      <c r="L427" s="130"/>
    </row>
    <row r="428" spans="1:19" ht="14.25">
      <c r="A428" s="176" t="s">
        <v>12</v>
      </c>
      <c r="B428" s="16" t="s">
        <v>272</v>
      </c>
      <c r="C428" s="48">
        <v>46.782407407407405</v>
      </c>
      <c r="D428" s="48">
        <v>11.064814814814815</v>
      </c>
      <c r="E428" s="48">
        <v>0</v>
      </c>
      <c r="F428" s="48">
        <v>0</v>
      </c>
      <c r="G428" s="48">
        <v>5.625</v>
      </c>
      <c r="H428" s="48">
        <v>0.99537037037037024</v>
      </c>
      <c r="I428" s="48">
        <v>0</v>
      </c>
      <c r="J428" s="48">
        <v>35.532407407407412</v>
      </c>
      <c r="K428" s="51">
        <v>0</v>
      </c>
      <c r="L428" s="130"/>
    </row>
    <row r="429" spans="1:19" ht="14.25">
      <c r="A429" s="176" t="s">
        <v>13</v>
      </c>
      <c r="B429" s="16" t="s">
        <v>275</v>
      </c>
      <c r="C429" s="48">
        <v>50.672043010752688</v>
      </c>
      <c r="D429" s="48">
        <v>9.6998207885304648</v>
      </c>
      <c r="E429" s="48">
        <v>0</v>
      </c>
      <c r="F429" s="48">
        <v>0</v>
      </c>
      <c r="G429" s="48">
        <v>6.6084229390680997</v>
      </c>
      <c r="H429" s="48">
        <v>0.29121863799283154</v>
      </c>
      <c r="I429" s="48">
        <v>0</v>
      </c>
      <c r="J429" s="48">
        <v>32.728494623655912</v>
      </c>
      <c r="K429" s="51">
        <v>0</v>
      </c>
      <c r="L429" s="130"/>
    </row>
    <row r="430" spans="1:19" ht="14.25">
      <c r="A430" s="176" t="s">
        <v>5</v>
      </c>
      <c r="B430" s="16" t="s">
        <v>277</v>
      </c>
      <c r="C430" s="48">
        <v>54.077060931899638</v>
      </c>
      <c r="D430" s="48">
        <v>8.1093189964157713</v>
      </c>
      <c r="E430" s="48">
        <v>0</v>
      </c>
      <c r="F430" s="48">
        <v>0</v>
      </c>
      <c r="G430" s="48">
        <v>9.6998207885304648</v>
      </c>
      <c r="H430" s="48">
        <v>0</v>
      </c>
      <c r="I430" s="48">
        <v>0</v>
      </c>
      <c r="J430" s="48">
        <v>28.113799283154123</v>
      </c>
      <c r="K430" s="51">
        <v>0</v>
      </c>
      <c r="L430" s="130"/>
    </row>
    <row r="431" spans="1:19" ht="14.25">
      <c r="A431" s="176" t="s">
        <v>6</v>
      </c>
      <c r="B431" s="16" t="s">
        <v>279</v>
      </c>
      <c r="C431" s="48">
        <v>45.21072796934866</v>
      </c>
      <c r="D431" s="48">
        <v>12.5</v>
      </c>
      <c r="E431" s="48">
        <v>0</v>
      </c>
      <c r="F431" s="48">
        <v>0</v>
      </c>
      <c r="G431" s="48">
        <v>3.5201149425287355</v>
      </c>
      <c r="H431" s="48">
        <v>1.8199233716475096</v>
      </c>
      <c r="I431" s="48">
        <v>0</v>
      </c>
      <c r="J431" s="48">
        <v>36.949233716475099</v>
      </c>
      <c r="K431" s="51">
        <v>0</v>
      </c>
      <c r="L431" s="130"/>
    </row>
    <row r="432" spans="1:19" ht="14.25">
      <c r="A432" s="176" t="s">
        <v>7</v>
      </c>
      <c r="B432" s="16" t="s">
        <v>282</v>
      </c>
      <c r="C432" s="48">
        <v>37.826379542395713</v>
      </c>
      <c r="D432" s="48">
        <v>10.235531628532973</v>
      </c>
      <c r="E432" s="48">
        <v>0</v>
      </c>
      <c r="F432" s="48">
        <v>0.26917900403768508</v>
      </c>
      <c r="G432" s="48">
        <v>3.9434724091520863</v>
      </c>
      <c r="H432" s="48">
        <v>8.5980260206370556</v>
      </c>
      <c r="I432" s="48">
        <v>0</v>
      </c>
      <c r="J432" s="48">
        <v>39.127411395244494</v>
      </c>
      <c r="K432" s="51">
        <v>0</v>
      </c>
      <c r="L432" s="130"/>
    </row>
    <row r="433" spans="1:12" ht="14.25">
      <c r="A433" s="176" t="s">
        <v>8</v>
      </c>
      <c r="B433" s="16" t="s">
        <v>288</v>
      </c>
      <c r="C433" s="48">
        <v>37.226851851851862</v>
      </c>
      <c r="D433" s="48">
        <v>6.7523148148148149</v>
      </c>
      <c r="E433" s="48">
        <v>0</v>
      </c>
      <c r="F433" s="48">
        <v>0.41666666666666669</v>
      </c>
      <c r="G433" s="48">
        <v>1.6689814814814814</v>
      </c>
      <c r="H433" s="48">
        <v>10.990740740740742</v>
      </c>
      <c r="I433" s="48">
        <v>0</v>
      </c>
      <c r="J433" s="48">
        <v>42.944444444444436</v>
      </c>
      <c r="K433" s="51">
        <v>0</v>
      </c>
      <c r="L433" s="130"/>
    </row>
    <row r="434" spans="1:12" ht="14.25">
      <c r="A434" s="176" t="s">
        <v>7</v>
      </c>
      <c r="B434" s="16" t="s">
        <v>290</v>
      </c>
      <c r="C434" s="48">
        <v>35.629480286738342</v>
      </c>
      <c r="D434" s="48">
        <v>12.107974910394265</v>
      </c>
      <c r="E434" s="48">
        <v>0</v>
      </c>
      <c r="F434" s="48">
        <v>0</v>
      </c>
      <c r="G434" s="48">
        <v>0.53763440860215062</v>
      </c>
      <c r="H434" s="48">
        <v>12.354390681003583</v>
      </c>
      <c r="I434" s="48">
        <v>0</v>
      </c>
      <c r="J434" s="48">
        <v>39.370519713261658</v>
      </c>
      <c r="K434" s="51">
        <v>0</v>
      </c>
      <c r="L434" s="130"/>
    </row>
    <row r="435" spans="1:12" ht="14.25">
      <c r="A435" s="176" t="s">
        <v>9</v>
      </c>
      <c r="B435" s="16" t="s">
        <v>292</v>
      </c>
      <c r="C435" s="48">
        <v>40.451388888888886</v>
      </c>
      <c r="D435" s="48">
        <v>10.266203703703702</v>
      </c>
      <c r="E435" s="48">
        <v>0</v>
      </c>
      <c r="F435" s="48">
        <v>0</v>
      </c>
      <c r="G435" s="48">
        <v>1.5972222222222221</v>
      </c>
      <c r="H435" s="48">
        <v>12.07175925925926</v>
      </c>
      <c r="I435" s="48">
        <v>0.34722222222222221</v>
      </c>
      <c r="J435" s="48">
        <v>35.266203703703709</v>
      </c>
      <c r="K435" s="51">
        <v>0</v>
      </c>
      <c r="L435" s="130"/>
    </row>
    <row r="436" spans="1:12" ht="14.25">
      <c r="A436" s="176" t="s">
        <v>9</v>
      </c>
      <c r="B436" s="16" t="s">
        <v>294</v>
      </c>
      <c r="C436" s="48">
        <v>42.697132616487465</v>
      </c>
      <c r="D436" s="48">
        <v>10.103046594982077</v>
      </c>
      <c r="E436" s="48">
        <v>0</v>
      </c>
      <c r="F436" s="48">
        <v>0</v>
      </c>
      <c r="G436" s="48">
        <v>7.795698924731183</v>
      </c>
      <c r="H436" s="48">
        <v>1.3440860215053763</v>
      </c>
      <c r="I436" s="48">
        <v>0.13440860215053765</v>
      </c>
      <c r="J436" s="48">
        <v>37.925627240143363</v>
      </c>
      <c r="K436" s="51">
        <v>0</v>
      </c>
      <c r="L436" s="130"/>
    </row>
    <row r="437" spans="1:12" ht="14.25">
      <c r="A437" s="176" t="s">
        <v>8</v>
      </c>
      <c r="B437" s="16" t="s">
        <v>296</v>
      </c>
      <c r="C437" s="48">
        <v>42.585125448028677</v>
      </c>
      <c r="D437" s="48">
        <v>9.8790322580645178</v>
      </c>
      <c r="E437" s="48">
        <v>0</v>
      </c>
      <c r="F437" s="48">
        <v>0</v>
      </c>
      <c r="G437" s="48">
        <v>7.5940860215053752</v>
      </c>
      <c r="H437" s="48">
        <v>0</v>
      </c>
      <c r="I437" s="48">
        <v>0</v>
      </c>
      <c r="J437" s="48">
        <v>39.941756272401435</v>
      </c>
      <c r="K437" s="51">
        <v>0</v>
      </c>
      <c r="L437" s="130"/>
    </row>
    <row r="438" spans="1:12" ht="14.25">
      <c r="A438" s="177" t="s">
        <v>10</v>
      </c>
      <c r="B438" s="49" t="s">
        <v>344</v>
      </c>
      <c r="C438" s="108">
        <v>38.217592592592595</v>
      </c>
      <c r="D438" s="108">
        <v>10.532407407407408</v>
      </c>
      <c r="E438" s="108">
        <v>0</v>
      </c>
      <c r="F438" s="108">
        <v>0</v>
      </c>
      <c r="G438" s="108">
        <v>6.5972222222222223</v>
      </c>
      <c r="H438" s="50">
        <v>0</v>
      </c>
      <c r="I438" s="50">
        <v>0.55555555555555558</v>
      </c>
      <c r="J438" s="50">
        <v>44.097222222222221</v>
      </c>
      <c r="K438" s="50">
        <v>0</v>
      </c>
      <c r="L438" s="130"/>
    </row>
    <row r="439" spans="1:12">
      <c r="C439" s="196">
        <f>OMIE!BD38</f>
        <v>38.217592592592595</v>
      </c>
      <c r="D439" s="196">
        <f>OMIE!BE38</f>
        <v>10.532407407407408</v>
      </c>
      <c r="E439" s="196">
        <f>OMIE!BF38</f>
        <v>0</v>
      </c>
      <c r="F439" s="196">
        <f>OMIE!BG38</f>
        <v>0</v>
      </c>
      <c r="G439" s="196">
        <f>OMIE!BH38</f>
        <v>6.5972222222222223</v>
      </c>
      <c r="H439" s="196">
        <f>OMIE!BI38</f>
        <v>0</v>
      </c>
      <c r="I439" s="196">
        <f>OMIE!BJ38</f>
        <v>0.55555555555555558</v>
      </c>
      <c r="J439" s="196">
        <f>OMIE!BK38</f>
        <v>44.097222222222221</v>
      </c>
      <c r="K439" s="196">
        <f>OMIE!BL38</f>
        <v>0</v>
      </c>
      <c r="L439" s="196">
        <f>OMIE!BN38</f>
        <v>0</v>
      </c>
    </row>
    <row r="440" spans="1:12">
      <c r="H440" s="202">
        <f>H439+L439</f>
        <v>0</v>
      </c>
    </row>
    <row r="441" spans="1:12">
      <c r="H441" s="202"/>
    </row>
    <row r="451" spans="1:14">
      <c r="A451" s="110" t="s">
        <v>69</v>
      </c>
      <c r="B451" s="89"/>
      <c r="C451" s="89"/>
      <c r="D451" s="89"/>
      <c r="E451" s="89"/>
      <c r="F451" s="89"/>
      <c r="G451" s="89"/>
      <c r="H451" s="89"/>
      <c r="I451" s="89"/>
      <c r="N451" s="166"/>
    </row>
    <row r="452" spans="1:14">
      <c r="A452" s="14"/>
      <c r="B452" s="268" t="s">
        <v>1</v>
      </c>
      <c r="C452" s="268" t="s">
        <v>2</v>
      </c>
      <c r="D452" s="268" t="s">
        <v>26</v>
      </c>
      <c r="E452" s="268" t="s">
        <v>17</v>
      </c>
      <c r="F452" s="268" t="s">
        <v>18</v>
      </c>
      <c r="G452" s="268" t="s">
        <v>236</v>
      </c>
      <c r="H452" s="268" t="s">
        <v>27</v>
      </c>
      <c r="I452" s="268" t="s">
        <v>30</v>
      </c>
      <c r="J452" s="270" t="s">
        <v>126</v>
      </c>
    </row>
    <row r="453" spans="1:14">
      <c r="A453" s="15"/>
      <c r="B453" s="269"/>
      <c r="C453" s="269"/>
      <c r="D453" s="269"/>
      <c r="E453" s="269"/>
      <c r="F453" s="269"/>
      <c r="G453" s="269"/>
      <c r="H453" s="269"/>
      <c r="I453" s="269"/>
      <c r="J453" s="271"/>
    </row>
    <row r="454" spans="1:14">
      <c r="A454" s="111" t="str">
        <f>MID(B43,6,3) &amp; "-" &amp; MID(B43,3,2)</f>
        <v>Sep-23</v>
      </c>
      <c r="B454" s="109">
        <f>VLOOKUP("Mercado Diario",$A$45:$N$65,2,FALSE)</f>
        <v>104</v>
      </c>
      <c r="C454" s="109">
        <f>VLOOKUP("Mercado Intradiario",$A$45:$N$65,2,FALSE)</f>
        <v>-0.08</v>
      </c>
      <c r="D454" s="109">
        <f t="shared" ref="D454:D466" si="14">SUM(B454:C454)</f>
        <v>103.92</v>
      </c>
      <c r="E454" s="109">
        <f>SUM(B82:B90)</f>
        <v>8.23</v>
      </c>
      <c r="F454" s="109">
        <f>VLOOKUP("Pago capacidad",$A$45:$N$65,2,FALSE)</f>
        <v>0.19</v>
      </c>
      <c r="G454" s="109">
        <f>VLOOKUP("Mecanismo Ajuste RD-L10/2022 Coste OM",$A$45:$N$65,2,FALSE)+VLOOKUP("Mecanismo Ajuste RD-L10/2022 Coste OS",$A$45:$N$65,2,FALSE)+VLOOKUP("Mecanismo Ajuste RD-L10/2022 Ajuste OS",$A$45:$N$65,2,FALSE)</f>
        <v>0</v>
      </c>
      <c r="H454" s="109">
        <f t="shared" ref="H454:H466" si="15">SUM(D454:G454)</f>
        <v>112.34</v>
      </c>
      <c r="I454" s="96">
        <f>VLOOKUP("Energía final MWh",$A$45:$N$61,2,FALSE)/1000</f>
        <v>18394.400785999998</v>
      </c>
      <c r="J454" s="114" t="str">
        <f t="shared" ref="J454:J466" si="16">MID(A454,1,1)</f>
        <v>S</v>
      </c>
      <c r="K454" s="202"/>
    </row>
    <row r="455" spans="1:14">
      <c r="A455" s="111" t="str">
        <f>MID(C43,6,3) &amp; "-" &amp; MID(C43,3,2)</f>
        <v>Oct-23</v>
      </c>
      <c r="B455" s="109">
        <f>VLOOKUP("Mercado Diario",$A$45:$N$65,3,FALSE)</f>
        <v>90.65</v>
      </c>
      <c r="C455" s="109">
        <f>VLOOKUP("Mercado Intradiario",$A$45:$N$65,3,FALSE)</f>
        <v>-0.12</v>
      </c>
      <c r="D455" s="109">
        <f t="shared" si="14"/>
        <v>90.53</v>
      </c>
      <c r="E455" s="109">
        <f>SUM(C82:C90)</f>
        <v>13.540000000000001</v>
      </c>
      <c r="F455" s="109">
        <f>VLOOKUP("Pago capacidad",$A$45:$N$65,3,FALSE)</f>
        <v>0.17</v>
      </c>
      <c r="G455" s="109">
        <f>VLOOKUP("Mecanismo Ajuste RD-L10/2022 Coste OM",$A$45:$N$65,3,FALSE)+VLOOKUP("Mecanismo Ajuste RD-L10/2022 Coste OS",$A$45:$N$65,3,FALSE)+VLOOKUP("Mecanismo Ajuste RD-L10/2022 Ajuste OS",$A$45:$N$65,3,FALSE)</f>
        <v>0</v>
      </c>
      <c r="H455" s="109">
        <f t="shared" si="15"/>
        <v>104.24000000000001</v>
      </c>
      <c r="I455" s="96">
        <f>VLOOKUP("Energía final MWh",$A$45:$N$61,3,FALSE)/1000</f>
        <v>18598.603438999999</v>
      </c>
      <c r="J455" s="114" t="str">
        <f t="shared" si="16"/>
        <v>O</v>
      </c>
      <c r="K455" s="202"/>
    </row>
    <row r="456" spans="1:14">
      <c r="A456" s="111" t="str">
        <f>MID(D43,6,3) &amp; "-" &amp; MID(D43,3,2)</f>
        <v>Nov-23</v>
      </c>
      <c r="B456" s="109">
        <f>VLOOKUP("Mercado Diario",$A$45:$N$65,4,FALSE)</f>
        <v>65.98</v>
      </c>
      <c r="C456" s="109">
        <f>VLOOKUP("Mercado Intradiario",$A$45:$N$65,4,FALSE)</f>
        <v>-7.0000000000000007E-2</v>
      </c>
      <c r="D456" s="109">
        <f t="shared" si="14"/>
        <v>65.910000000000011</v>
      </c>
      <c r="E456" s="109">
        <f>SUM(D82:D90)</f>
        <v>14.119999999999997</v>
      </c>
      <c r="F456" s="109">
        <f>VLOOKUP("Pago capacidad",$A$45:$N$65,4,FALSE)</f>
        <v>0.23</v>
      </c>
      <c r="G456" s="109">
        <f>VLOOKUP("Mecanismo Ajuste RD-L10/2022 Coste OM",$A$45:$N$65,4,FALSE)+VLOOKUP("Mecanismo Ajuste RD-L10/2022 Coste OS",$A$45:$N$65,4,FALSE)+VLOOKUP("Mecanismo Ajuste RD-L10/2022 Ajuste OS",$A$45:$N$65,4,FALSE)</f>
        <v>0</v>
      </c>
      <c r="H456" s="109">
        <f t="shared" si="15"/>
        <v>80.260000000000005</v>
      </c>
      <c r="I456" s="96">
        <f>VLOOKUP("Energía final MWh",$A$45:$N$61,4,FALSE)/1000</f>
        <v>18943.383147999997</v>
      </c>
      <c r="J456" s="114" t="str">
        <f t="shared" si="16"/>
        <v>N</v>
      </c>
    </row>
    <row r="457" spans="1:14">
      <c r="A457" s="111" t="str">
        <f>MID(E43,6,3) &amp; "-" &amp; MID(E43,3,2)</f>
        <v>Dic-23</v>
      </c>
      <c r="B457" s="109">
        <f>VLOOKUP("Mercado Diario",$A$45:$N$65,5,FALSE)</f>
        <v>74.37</v>
      </c>
      <c r="C457" s="109">
        <f>VLOOKUP("Mercado Intradiario",$A$45:$N$65,5,FALSE)</f>
        <v>-0.08</v>
      </c>
      <c r="D457" s="109">
        <f t="shared" si="14"/>
        <v>74.290000000000006</v>
      </c>
      <c r="E457" s="109">
        <f>SUM(E82:E90)</f>
        <v>10.699999999999998</v>
      </c>
      <c r="F457" s="109">
        <f>VLOOKUP("Pago capacidad",$A$45:$N$65,5,FALSE)</f>
        <v>0.3</v>
      </c>
      <c r="G457" s="109">
        <f>VLOOKUP("Mecanismo Ajuste RD-L10/2022 Coste OM",$A$45:$N$65,5,FALSE)+VLOOKUP("Mecanismo Ajuste RD-L10/2022 Coste OS",$A$45:$N$65,5,FALSE)+VLOOKUP("Mecanismo Ajuste RD-L10/2022 Ajuste OS",$A$45:$N$65,5,FALSE)</f>
        <v>0</v>
      </c>
      <c r="H457" s="109">
        <f t="shared" si="15"/>
        <v>85.29</v>
      </c>
      <c r="I457" s="96">
        <f>VLOOKUP("Energía final MWh",$A$45:$N$61,5,FALSE)/1000</f>
        <v>20023.114171000001</v>
      </c>
      <c r="J457" s="114" t="str">
        <f t="shared" si="16"/>
        <v>D</v>
      </c>
    </row>
    <row r="458" spans="1:14">
      <c r="A458" s="111" t="str">
        <f>MID(F43,6,3) &amp; "-" &amp; MID(F43,3,2)</f>
        <v>Ene-24</v>
      </c>
      <c r="B458" s="109">
        <f>VLOOKUP("Mercado Diario",$A$45:$N$65,6,FALSE)</f>
        <v>76.87</v>
      </c>
      <c r="C458" s="109">
        <f>VLOOKUP("Mercado Intradiario",$A$45:$N$65,6,FALSE)</f>
        <v>-0.09</v>
      </c>
      <c r="D458" s="109">
        <f t="shared" si="14"/>
        <v>76.78</v>
      </c>
      <c r="E458" s="109">
        <f>SUM(F82:F90)</f>
        <v>8.5199999999999978</v>
      </c>
      <c r="F458" s="109">
        <f>VLOOKUP("Pago capacidad",$A$45:$N$65,6,FALSE)</f>
        <v>0.35</v>
      </c>
      <c r="G458" s="109">
        <f>VLOOKUP("Mecanismo Ajuste RD-L10/2022 Coste OM",$A$45:$N$65,6,FALSE)+VLOOKUP("Mecanismo Ajuste RD-L10/2022 Coste OS",$A$45:$N$65,6,FALSE)+VLOOKUP("Mecanismo Ajuste RD-L10/2022 Ajuste OS",$A$45:$N$65,6,FALSE)</f>
        <v>0</v>
      </c>
      <c r="H458" s="109">
        <f t="shared" si="15"/>
        <v>85.649999999999991</v>
      </c>
      <c r="I458" s="96">
        <f>VLOOKUP("Energía final MWh",$A$45:$N$61,6,FALSE)/1000</f>
        <v>21022.918717999997</v>
      </c>
      <c r="J458" s="114" t="str">
        <f t="shared" si="16"/>
        <v>E</v>
      </c>
    </row>
    <row r="459" spans="1:14">
      <c r="A459" s="111" t="str">
        <f>MID(G43,6,3) &amp; "-" &amp; MID(G43,3,2)</f>
        <v>Feb-24</v>
      </c>
      <c r="B459" s="109">
        <f>VLOOKUP("Mercado Diario",$A$45:$N$65,7,FALSE)</f>
        <v>40.770000000000003</v>
      </c>
      <c r="C459" s="109">
        <f>VLOOKUP("Mercado Intradiario",$A$45:$N$65,7,FALSE)</f>
        <v>-0.09</v>
      </c>
      <c r="D459" s="109">
        <f t="shared" si="14"/>
        <v>40.68</v>
      </c>
      <c r="E459" s="109">
        <f>SUM(G82:G90)</f>
        <v>9.3699999999999992</v>
      </c>
      <c r="F459" s="109">
        <f>VLOOKUP("Pago capacidad",$A$45:$N$65,7,FALSE)</f>
        <v>0.33</v>
      </c>
      <c r="G459" s="109">
        <f>VLOOKUP("Mecanismo Ajuste RD-L10/2022 Coste OM",$A$45:$N$65,7,FALSE)+VLOOKUP("Mecanismo Ajuste RD-L10/2022 Coste OS",$A$45:$N$65,7,FALSE)+VLOOKUP("Mecanismo Ajuste RD-L10/2022 Ajuste OS",$A$45:$N$65,7,FALSE)</f>
        <v>0</v>
      </c>
      <c r="H459" s="109">
        <f t="shared" si="15"/>
        <v>50.379999999999995</v>
      </c>
      <c r="I459" s="96">
        <f>VLOOKUP("Energía final MWh",$A$45:$N$61,7,FALSE)/1000</f>
        <v>19174.34765</v>
      </c>
      <c r="J459" s="114" t="str">
        <f t="shared" si="16"/>
        <v>F</v>
      </c>
    </row>
    <row r="460" spans="1:14">
      <c r="A460" s="111" t="str">
        <f>MID(H43,6,3) &amp; "-" &amp; MID(H43,3,2)</f>
        <v>Mar-24</v>
      </c>
      <c r="B460" s="109">
        <f>VLOOKUP("Mercado Diario",$A$45:$N$65,8,FALSE)</f>
        <v>21.37</v>
      </c>
      <c r="C460" s="109">
        <f>VLOOKUP("Mercado Intradiario",$A$45:$N$65,8,FALSE)</f>
        <v>-0.05</v>
      </c>
      <c r="D460" s="109">
        <f t="shared" si="14"/>
        <v>21.32</v>
      </c>
      <c r="E460" s="109">
        <f>SUM(H82:H90)</f>
        <v>12.659999999999998</v>
      </c>
      <c r="F460" s="109">
        <f>VLOOKUP("Pago capacidad",$A$45:$N$65,8,FALSE)</f>
        <v>0.19</v>
      </c>
      <c r="G460" s="109">
        <f>VLOOKUP("Mecanismo Ajuste RD-L10/2022 Coste OM",$A$45:$N$65,8,FALSE)+VLOOKUP("Mecanismo Ajuste RD-L10/2022 Coste OS",$A$45:$N$65,8,FALSE)+VLOOKUP("Mecanismo Ajuste RD-L10/2022 Ajuste OS",$A$45:$N$65,8,FALSE)</f>
        <v>0</v>
      </c>
      <c r="H460" s="109">
        <f t="shared" si="15"/>
        <v>34.169999999999995</v>
      </c>
      <c r="I460" s="96">
        <f>VLOOKUP("Energía final MWh",$A$45:$N$61,8,FALSE)/1000</f>
        <v>19397.153409000002</v>
      </c>
      <c r="J460" s="114" t="str">
        <f t="shared" si="16"/>
        <v>M</v>
      </c>
    </row>
    <row r="461" spans="1:14">
      <c r="A461" s="111" t="str">
        <f>MID(I43,6,3) &amp; "-" &amp; MID(I43,3,2)</f>
        <v>Abr-24</v>
      </c>
      <c r="B461" s="109">
        <f>VLOOKUP("Mercado Diario",$A$45:$N$65,9,FALSE)</f>
        <v>14.103999999999999</v>
      </c>
      <c r="C461" s="109">
        <f>VLOOKUP("Mercado Intradiario",$A$45:$N$65,9,FALSE)</f>
        <v>-0.13</v>
      </c>
      <c r="D461" s="109">
        <f t="shared" si="14"/>
        <v>13.973999999999998</v>
      </c>
      <c r="E461" s="109">
        <f>SUM(I82:I90)</f>
        <v>17.372</v>
      </c>
      <c r="F461" s="109">
        <f>VLOOKUP("Pago capacidad",$A$45:$N$65,9,FALSE)</f>
        <v>0.16</v>
      </c>
      <c r="G461" s="109">
        <f>VLOOKUP("Mecanismo Ajuste RD-L10/2022 Coste OM",$A$45:$N$65,9,FALSE)+VLOOKUP("Mecanismo Ajuste RD-L10/2022 Coste OS",$A$45:$N$65,9,FALSE)+VLOOKUP("Mecanismo Ajuste RD-L10/2022 Ajuste OS",$A$45:$N$65,9,FALSE)</f>
        <v>0</v>
      </c>
      <c r="H461" s="109">
        <f t="shared" si="15"/>
        <v>31.505999999999997</v>
      </c>
      <c r="I461" s="96">
        <f>VLOOKUP("Energía final MWh",$A$45:$N$61,9,FALSE)/1000</f>
        <v>18171.952621</v>
      </c>
      <c r="J461" s="114" t="str">
        <f t="shared" si="16"/>
        <v>A</v>
      </c>
    </row>
    <row r="462" spans="1:14">
      <c r="A462" s="111" t="str">
        <f>MID(J43,6,3) &amp; "-" &amp; MID(J43,3,2)</f>
        <v>May-24</v>
      </c>
      <c r="B462" s="109">
        <f>VLOOKUP("Mercado Diario",$A$45:$N$65,10,FALSE)</f>
        <v>30.15</v>
      </c>
      <c r="C462" s="109">
        <f>VLOOKUP("Mercado Intradiario",$A$45:$N$65,10,FALSE)</f>
        <v>-7.0000000000000007E-2</v>
      </c>
      <c r="D462" s="109">
        <f t="shared" si="14"/>
        <v>30.08</v>
      </c>
      <c r="E462" s="109">
        <f>SUM(J82:J90)</f>
        <v>14.25</v>
      </c>
      <c r="F462" s="109">
        <f>VLOOKUP("Pago capacidad",$A$45:$N$65,10,FALSE)</f>
        <v>0.15</v>
      </c>
      <c r="G462" s="109">
        <f>VLOOKUP("Mecanismo Ajuste RD-L10/2022 Coste OM",$A$45:$N$65,10,FALSE)+VLOOKUP("Mecanismo Ajuste RD-L10/2022 Coste OS",$A$45:$N$65,10,FALSE)+VLOOKUP("Mecanismo Ajuste RD-L10/2022 Ajuste OS",$A$45:$N$65,10,FALSE)</f>
        <v>0</v>
      </c>
      <c r="H462" s="109">
        <f t="shared" si="15"/>
        <v>44.48</v>
      </c>
      <c r="I462" s="96">
        <f>VLOOKUP("Energía final MWh",$A$45:$N$61,10,FALSE)/1000</f>
        <v>18437.728679</v>
      </c>
      <c r="J462" s="114" t="str">
        <f t="shared" si="16"/>
        <v>M</v>
      </c>
    </row>
    <row r="463" spans="1:14">
      <c r="A463" s="111" t="str">
        <f>MID(K43,6,3) &amp; "-" &amp; MID(K43,3,2)</f>
        <v>Jun-24</v>
      </c>
      <c r="B463" s="109">
        <f>VLOOKUP("Mercado Diario",$A$45:$N$65,11,FALSE)</f>
        <v>56.87</v>
      </c>
      <c r="C463" s="109">
        <f>VLOOKUP("Mercado Intradiario",$A$45:$N$65,11,FALSE)</f>
        <v>-0.11</v>
      </c>
      <c r="D463" s="109">
        <f t="shared" si="14"/>
        <v>56.76</v>
      </c>
      <c r="E463" s="109">
        <f>SUM(K82:K90)</f>
        <v>11.5</v>
      </c>
      <c r="F463" s="109">
        <f>VLOOKUP("Pago capacidad",$A$45:$N$65,11,FALSE)</f>
        <v>0.15</v>
      </c>
      <c r="G463" s="109">
        <f>VLOOKUP("Mecanismo Ajuste RD-L10/2022 Coste OM",$A$45:$N$65,11,FALSE)+VLOOKUP("Mecanismo Ajuste RD-L10/2022 Coste OS",$A$45:$N$65,11,FALSE)+VLOOKUP("Mecanismo Ajuste RD-L10/2022 Ajuste OS",$A$45:$N$65,11,FALSE)</f>
        <v>0</v>
      </c>
      <c r="H463" s="109">
        <f t="shared" si="15"/>
        <v>68.41</v>
      </c>
      <c r="I463" s="96">
        <f>VLOOKUP("Energía final MWh",$A$45:$N$61,11,FALSE)/1000</f>
        <v>18450.887931000001</v>
      </c>
      <c r="J463" s="114" t="str">
        <f t="shared" si="16"/>
        <v>J</v>
      </c>
    </row>
    <row r="464" spans="1:14">
      <c r="A464" s="111" t="str">
        <f>MID(L43,6,3) &amp; "-" &amp; MID(L43,3,2)</f>
        <v>Jul-24</v>
      </c>
      <c r="B464" s="109">
        <f>VLOOKUP("Mercado Diario",$A$45:$N$65,12,FALSE)</f>
        <v>72.64</v>
      </c>
      <c r="C464" s="109">
        <f>VLOOKUP("Mercado Intradiario",$A$45:$N$65,12,FALSE)</f>
        <v>-7.0000000000000007E-2</v>
      </c>
      <c r="D464" s="109">
        <f t="shared" si="14"/>
        <v>72.570000000000007</v>
      </c>
      <c r="E464" s="109">
        <f>SUM(L82:L90)</f>
        <v>8.168000000000001</v>
      </c>
      <c r="F464" s="109">
        <f>VLOOKUP("Pago capacidad",$A$45:$N$65,12,FALSE)</f>
        <v>0.31</v>
      </c>
      <c r="G464" s="109">
        <f>VLOOKUP("Mecanismo Ajuste RD-L10/2022 Coste OM",$A$45:$N$65,12,FALSE)+VLOOKUP("Mecanismo Ajuste RD-L10/2022 Coste OS",$A$45:$N$65,12,FALSE)+VLOOKUP("Mecanismo Ajuste RD-L10/2022 Ajuste OS",$A$45:$N$65,12,FALSE)</f>
        <v>0</v>
      </c>
      <c r="H464" s="109">
        <f t="shared" si="15"/>
        <v>81.048000000000016</v>
      </c>
      <c r="I464" s="96">
        <f>VLOOKUP("Energía final MWh",$A$45:$N$61,12,FALSE)/1000</f>
        <v>21346.708354999999</v>
      </c>
      <c r="J464" s="114" t="str">
        <f t="shared" si="16"/>
        <v>J</v>
      </c>
    </row>
    <row r="465" spans="1:15">
      <c r="A465" s="111" t="str">
        <f>MID(M43,6,3) &amp; "-" &amp; MID(M43,3,2)</f>
        <v>Ago-24</v>
      </c>
      <c r="B465" s="109">
        <f>VLOOKUP("Mercado Diario",$A$45:$N$65,12,FALSE)</f>
        <v>72.64</v>
      </c>
      <c r="C465" s="109">
        <f>VLOOKUP("Mercado Intradiario",$A$45:$N$65,12,FALSE)</f>
        <v>-7.0000000000000007E-2</v>
      </c>
      <c r="D465" s="109">
        <f t="shared" si="14"/>
        <v>72.570000000000007</v>
      </c>
      <c r="E465" s="109">
        <f>SUM(M82:M90)</f>
        <v>8.5799999999999983</v>
      </c>
      <c r="F465" s="109">
        <f>VLOOKUP("Pago capacidad",$A$45:$N$65,12,FALSE)</f>
        <v>0.31</v>
      </c>
      <c r="G465" s="109"/>
      <c r="H465" s="109">
        <f t="shared" si="15"/>
        <v>81.460000000000008</v>
      </c>
      <c r="I465" s="96">
        <f>VLOOKUP("Energía final MWh",$A$45:$N$61,12,FALSE)/1000</f>
        <v>21346.708354999999</v>
      </c>
      <c r="J465" s="114" t="str">
        <f t="shared" si="16"/>
        <v>A</v>
      </c>
      <c r="K465" s="148"/>
      <c r="N465" t="s">
        <v>237</v>
      </c>
    </row>
    <row r="466" spans="1:15">
      <c r="A466" s="112" t="str">
        <f>MID(N43,6,3) &amp; "-" &amp; MID(N43,3,2)</f>
        <v>Sep-24</v>
      </c>
      <c r="B466" s="108">
        <f>VLOOKUP("Mercado Diario",$A$45:$N$65,14,FALSE)</f>
        <v>73.44</v>
      </c>
      <c r="C466" s="108">
        <f>VLOOKUP("Mercado Intradiario",$A$45:$N$65,14,FALSE)</f>
        <v>-0.09</v>
      </c>
      <c r="D466" s="108">
        <f t="shared" si="14"/>
        <v>73.349999999999994</v>
      </c>
      <c r="E466" s="108">
        <f>SUM(N82:N90)</f>
        <v>11.310000000000002</v>
      </c>
      <c r="F466" s="108">
        <f>VLOOKUP("Pago capacidad",$A$45:$N$65,14,FALSE)</f>
        <v>0.16</v>
      </c>
      <c r="G466" s="108"/>
      <c r="H466" s="108">
        <f t="shared" si="15"/>
        <v>84.82</v>
      </c>
      <c r="I466" s="113">
        <f>VLOOKUP("Energía final MWh",$A$45:$N$61,14,FALSE)/1000</f>
        <v>18396.476870000002</v>
      </c>
      <c r="J466" s="115" t="str">
        <f t="shared" si="16"/>
        <v>S</v>
      </c>
      <c r="K466" s="53">
        <f>(H466/H465-1)*100</f>
        <v>4.1247237908175638</v>
      </c>
      <c r="L466" s="53">
        <f>(H466/H454-1)*100</f>
        <v>-24.497062488873066</v>
      </c>
      <c r="M466" s="53">
        <f>H466/H454</f>
        <v>0.75502937511126933</v>
      </c>
      <c r="N466" s="166">
        <f>E466/H466</f>
        <v>0.13334119311483145</v>
      </c>
    </row>
    <row r="467" spans="1:15">
      <c r="D467" s="166"/>
      <c r="E467" s="166"/>
      <c r="F467" s="166"/>
      <c r="G467" s="166"/>
      <c r="H467" s="166"/>
    </row>
    <row r="468" spans="1:15">
      <c r="D468" s="166"/>
      <c r="E468" s="221"/>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403:A404"/>
    <mergeCell ref="C400:O400"/>
    <mergeCell ref="A417:A420"/>
    <mergeCell ref="A413:A416"/>
    <mergeCell ref="C410:O410"/>
    <mergeCell ref="A405:A406"/>
    <mergeCell ref="A280:A298"/>
    <mergeCell ref="B327:B328"/>
    <mergeCell ref="A358:A375"/>
    <mergeCell ref="A340:A357"/>
    <mergeCell ref="C337:O337"/>
    <mergeCell ref="B329:B330"/>
    <mergeCell ref="A327:A330"/>
    <mergeCell ref="B325:B326"/>
    <mergeCell ref="B323:B324"/>
    <mergeCell ref="A323:A326"/>
    <mergeCell ref="D320:P320"/>
    <mergeCell ref="C258:O258"/>
    <mergeCell ref="A153:A171"/>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61:A279"/>
    <mergeCell ref="B4:AB4"/>
    <mergeCell ref="B5:AB5"/>
    <mergeCell ref="A134:A152"/>
    <mergeCell ref="A217:A235"/>
    <mergeCell ref="A198:A216"/>
    <mergeCell ref="B188:N188"/>
  </mergeCells>
  <phoneticPr fontId="75"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56" workbookViewId="0">
      <selection activeCell="Q37" sqref="Q37"/>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5" t="s">
        <v>132</v>
      </c>
      <c r="AB1" s="275"/>
      <c r="AC1" s="275"/>
      <c r="AD1" s="275"/>
      <c r="AE1" s="275"/>
      <c r="AF1" s="275"/>
      <c r="AG1" s="275"/>
      <c r="AH1" s="275"/>
      <c r="AI1" s="275"/>
      <c r="AJ1" s="275"/>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345</v>
      </c>
      <c r="B5" t="s">
        <v>136</v>
      </c>
      <c r="C5" t="s">
        <v>346</v>
      </c>
      <c r="D5" t="s">
        <v>136</v>
      </c>
      <c r="E5" t="s">
        <v>136</v>
      </c>
      <c r="F5" t="s">
        <v>141</v>
      </c>
      <c r="G5" t="s">
        <v>136</v>
      </c>
      <c r="H5" t="s">
        <v>141</v>
      </c>
      <c r="I5" t="s">
        <v>141</v>
      </c>
      <c r="J5" t="s">
        <v>141</v>
      </c>
      <c r="K5" t="s">
        <v>141</v>
      </c>
      <c r="L5" t="s">
        <v>140</v>
      </c>
      <c r="M5" t="s">
        <v>140</v>
      </c>
      <c r="N5" t="s">
        <v>140</v>
      </c>
      <c r="O5" t="s">
        <v>140</v>
      </c>
      <c r="P5" t="s">
        <v>140</v>
      </c>
      <c r="Q5" t="s">
        <v>140</v>
      </c>
      <c r="R5" t="s">
        <v>140</v>
      </c>
      <c r="S5" t="s">
        <v>140</v>
      </c>
      <c r="T5" t="s">
        <v>136</v>
      </c>
      <c r="U5" t="s">
        <v>140</v>
      </c>
      <c r="V5" t="s">
        <v>136</v>
      </c>
      <c r="W5" t="s">
        <v>133</v>
      </c>
      <c r="X5" t="s">
        <v>136</v>
      </c>
      <c r="Y5" t="s">
        <v>347</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2</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2</v>
      </c>
      <c r="AY5" s="120">
        <f>SUM(AA5:AX5)</f>
        <v>26</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348</v>
      </c>
      <c r="B6" t="s">
        <v>136</v>
      </c>
      <c r="C6" t="s">
        <v>133</v>
      </c>
      <c r="D6" t="s">
        <v>136</v>
      </c>
      <c r="E6" t="s">
        <v>349</v>
      </c>
      <c r="F6" t="s">
        <v>136</v>
      </c>
      <c r="G6" t="s">
        <v>133</v>
      </c>
      <c r="H6" t="s">
        <v>136</v>
      </c>
      <c r="I6" t="s">
        <v>141</v>
      </c>
      <c r="J6" t="s">
        <v>136</v>
      </c>
      <c r="K6" t="s">
        <v>133</v>
      </c>
      <c r="L6" t="s">
        <v>136</v>
      </c>
      <c r="M6" t="s">
        <v>136</v>
      </c>
      <c r="N6" t="s">
        <v>140</v>
      </c>
      <c r="O6" t="s">
        <v>140</v>
      </c>
      <c r="P6" t="s">
        <v>140</v>
      </c>
      <c r="Q6" t="s">
        <v>140</v>
      </c>
      <c r="R6" t="s">
        <v>140</v>
      </c>
      <c r="S6" t="s">
        <v>136</v>
      </c>
      <c r="T6" t="s">
        <v>136</v>
      </c>
      <c r="U6" t="s">
        <v>350</v>
      </c>
      <c r="V6" t="s">
        <v>136</v>
      </c>
      <c r="W6" t="s">
        <v>133</v>
      </c>
      <c r="X6" t="s">
        <v>136</v>
      </c>
      <c r="Y6" t="s">
        <v>133</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2</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3</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27</v>
      </c>
      <c r="BC6" s="136" t="str">
        <f>A5</f>
        <v>01/09/24</v>
      </c>
      <c r="BD6" s="138">
        <f>AY137</f>
        <v>8</v>
      </c>
      <c r="BE6" s="138">
        <f>AY38</f>
        <v>1.5</v>
      </c>
      <c r="BF6" s="138">
        <f>AY203</f>
        <v>0</v>
      </c>
      <c r="BG6" s="138">
        <f>AY236</f>
        <v>0</v>
      </c>
      <c r="BH6" s="138">
        <f>AY302</f>
        <v>5.5</v>
      </c>
      <c r="BI6" s="138">
        <f>AY335</f>
        <v>0</v>
      </c>
      <c r="BJ6" s="138">
        <f>AY170</f>
        <v>0</v>
      </c>
      <c r="BK6" s="138">
        <f>AY269</f>
        <v>9</v>
      </c>
      <c r="BL6" s="138">
        <f>AY71</f>
        <v>0</v>
      </c>
      <c r="BM6" s="138">
        <f>AY104</f>
        <v>0</v>
      </c>
      <c r="BN6" s="138">
        <f>AY369</f>
        <v>0</v>
      </c>
      <c r="BO6" s="124">
        <f>SUM(BD6:BN6)</f>
        <v>24</v>
      </c>
    </row>
    <row r="7" spans="1:67">
      <c r="A7" t="s">
        <v>351</v>
      </c>
      <c r="B7" t="s">
        <v>141</v>
      </c>
      <c r="C7" t="s">
        <v>136</v>
      </c>
      <c r="D7" t="s">
        <v>141</v>
      </c>
      <c r="E7" t="s">
        <v>136</v>
      </c>
      <c r="F7" t="s">
        <v>349</v>
      </c>
      <c r="G7" t="s">
        <v>136</v>
      </c>
      <c r="H7" t="s">
        <v>133</v>
      </c>
      <c r="I7" t="s">
        <v>133</v>
      </c>
      <c r="J7" t="s">
        <v>136</v>
      </c>
      <c r="K7" t="s">
        <v>133</v>
      </c>
      <c r="L7" t="s">
        <v>140</v>
      </c>
      <c r="M7" t="s">
        <v>140</v>
      </c>
      <c r="N7" t="s">
        <v>140</v>
      </c>
      <c r="O7" t="s">
        <v>140</v>
      </c>
      <c r="P7" t="s">
        <v>140</v>
      </c>
      <c r="Q7" t="s">
        <v>140</v>
      </c>
      <c r="R7" t="s">
        <v>140</v>
      </c>
      <c r="S7" t="s">
        <v>140</v>
      </c>
      <c r="T7" t="s">
        <v>136</v>
      </c>
      <c r="U7" t="s">
        <v>136</v>
      </c>
      <c r="V7" t="s">
        <v>133</v>
      </c>
      <c r="W7" t="s">
        <v>133</v>
      </c>
      <c r="X7" t="s">
        <v>136</v>
      </c>
      <c r="Y7" t="s">
        <v>136</v>
      </c>
      <c r="Z7" s="20" t="s">
        <v>186</v>
      </c>
      <c r="AA7" s="120">
        <f t="shared" si="1"/>
        <v>1</v>
      </c>
      <c r="AB7" s="120">
        <f t="shared" si="2"/>
        <v>1</v>
      </c>
      <c r="AC7" s="120">
        <f t="shared" si="3"/>
        <v>1</v>
      </c>
      <c r="AD7" s="120">
        <f t="shared" si="4"/>
        <v>1</v>
      </c>
      <c r="AE7" s="120">
        <f t="shared" si="5"/>
        <v>2</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25</v>
      </c>
      <c r="BC7" s="136" t="str">
        <f t="shared" ref="BC7:BC35" si="26">A6</f>
        <v>02/09/24</v>
      </c>
      <c r="BD7" s="138">
        <f t="shared" ref="BD7:BD34" si="27">AY138</f>
        <v>11.833333333333334</v>
      </c>
      <c r="BE7" s="138">
        <f t="shared" ref="BE7:BE35" si="28">AY39</f>
        <v>5.3333333333333339</v>
      </c>
      <c r="BF7" s="138">
        <f t="shared" ref="BF7:BF35" si="29">AY204</f>
        <v>0</v>
      </c>
      <c r="BG7" s="138">
        <f t="shared" ref="BG7:BG35" si="30">AY237</f>
        <v>0</v>
      </c>
      <c r="BH7" s="138">
        <f t="shared" ref="BH7:BH35" si="31">AY303</f>
        <v>1</v>
      </c>
      <c r="BI7" s="138">
        <f t="shared" ref="BI7:BI35" si="32">AY336</f>
        <v>0</v>
      </c>
      <c r="BJ7" s="138">
        <f t="shared" ref="BJ7:BJ35" si="33">AY171</f>
        <v>0</v>
      </c>
      <c r="BK7" s="138">
        <f t="shared" ref="BK7:BK35" si="34">AY270</f>
        <v>5.833333333333333</v>
      </c>
      <c r="BL7" s="138">
        <f t="shared" ref="BL7:BL35" si="35">AY72</f>
        <v>0</v>
      </c>
      <c r="BM7" s="138">
        <f t="shared" ref="BM7:BM35" si="36">AY105</f>
        <v>0</v>
      </c>
      <c r="BN7" s="138">
        <f t="shared" ref="BN7:BN36" si="37">AY370</f>
        <v>0</v>
      </c>
      <c r="BO7" s="124">
        <f t="shared" ref="BO7:BO36" si="38">SUM(BD7:BN7)</f>
        <v>24</v>
      </c>
    </row>
    <row r="8" spans="1:67" ht="12.75" customHeight="1">
      <c r="A8" t="s">
        <v>352</v>
      </c>
      <c r="B8" t="s">
        <v>136</v>
      </c>
      <c r="C8" t="s">
        <v>136</v>
      </c>
      <c r="D8" t="s">
        <v>136</v>
      </c>
      <c r="E8" t="s">
        <v>140</v>
      </c>
      <c r="F8" t="s">
        <v>140</v>
      </c>
      <c r="G8" t="s">
        <v>140</v>
      </c>
      <c r="H8" t="s">
        <v>141</v>
      </c>
      <c r="I8" t="s">
        <v>136</v>
      </c>
      <c r="J8" t="s">
        <v>136</v>
      </c>
      <c r="K8" t="s">
        <v>136</v>
      </c>
      <c r="L8" t="s">
        <v>136</v>
      </c>
      <c r="M8" t="s">
        <v>140</v>
      </c>
      <c r="N8" t="s">
        <v>140</v>
      </c>
      <c r="O8" t="s">
        <v>140</v>
      </c>
      <c r="P8" t="s">
        <v>140</v>
      </c>
      <c r="Q8" t="s">
        <v>140</v>
      </c>
      <c r="R8" t="s">
        <v>140</v>
      </c>
      <c r="S8" t="s">
        <v>140</v>
      </c>
      <c r="T8" t="s">
        <v>140</v>
      </c>
      <c r="U8" t="s">
        <v>349</v>
      </c>
      <c r="V8" t="s">
        <v>141</v>
      </c>
      <c r="W8" t="s">
        <v>136</v>
      </c>
      <c r="X8" t="s">
        <v>136</v>
      </c>
      <c r="Y8" t="s">
        <v>136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2</v>
      </c>
      <c r="AU8" s="120">
        <f t="shared" si="21"/>
        <v>1</v>
      </c>
      <c r="AV8" s="120">
        <f t="shared" si="22"/>
        <v>1</v>
      </c>
      <c r="AW8" s="120">
        <f t="shared" si="23"/>
        <v>1</v>
      </c>
      <c r="AX8" s="120">
        <f t="shared" si="24"/>
        <v>1</v>
      </c>
      <c r="AY8" s="120">
        <f t="shared" si="25"/>
        <v>25</v>
      </c>
      <c r="BC8" s="136" t="str">
        <f t="shared" si="26"/>
        <v>03/09/24</v>
      </c>
      <c r="BD8" s="138">
        <f t="shared" si="27"/>
        <v>8.5</v>
      </c>
      <c r="BE8" s="138">
        <f t="shared" si="28"/>
        <v>5</v>
      </c>
      <c r="BF8" s="138">
        <f t="shared" si="29"/>
        <v>0</v>
      </c>
      <c r="BG8" s="138">
        <f t="shared" si="30"/>
        <v>0</v>
      </c>
      <c r="BH8" s="138">
        <f t="shared" si="31"/>
        <v>2</v>
      </c>
      <c r="BI8" s="138">
        <f t="shared" si="32"/>
        <v>0</v>
      </c>
      <c r="BJ8" s="138">
        <f t="shared" si="33"/>
        <v>0</v>
      </c>
      <c r="BK8" s="138">
        <f t="shared" si="34"/>
        <v>8.5</v>
      </c>
      <c r="BL8" s="138">
        <f t="shared" si="35"/>
        <v>0</v>
      </c>
      <c r="BM8" s="138">
        <f t="shared" si="36"/>
        <v>0</v>
      </c>
      <c r="BN8" s="138">
        <f t="shared" si="37"/>
        <v>0</v>
      </c>
      <c r="BO8" s="124">
        <f t="shared" si="38"/>
        <v>24</v>
      </c>
    </row>
    <row r="9" spans="1:67">
      <c r="A9" t="s">
        <v>353</v>
      </c>
      <c r="B9" t="s">
        <v>140</v>
      </c>
      <c r="C9" t="s">
        <v>136</v>
      </c>
      <c r="D9" t="s">
        <v>136</v>
      </c>
      <c r="E9" t="s">
        <v>136</v>
      </c>
      <c r="F9" t="s">
        <v>349</v>
      </c>
      <c r="G9" t="s">
        <v>354</v>
      </c>
      <c r="H9" t="s">
        <v>136</v>
      </c>
      <c r="I9" t="s">
        <v>136</v>
      </c>
      <c r="J9" t="s">
        <v>136</v>
      </c>
      <c r="K9" t="s">
        <v>136</v>
      </c>
      <c r="L9" t="s">
        <v>140</v>
      </c>
      <c r="M9" t="s">
        <v>140</v>
      </c>
      <c r="N9" t="s">
        <v>140</v>
      </c>
      <c r="O9" t="s">
        <v>140</v>
      </c>
      <c r="P9" t="s">
        <v>140</v>
      </c>
      <c r="Q9" t="s">
        <v>136</v>
      </c>
      <c r="R9" t="s">
        <v>140</v>
      </c>
      <c r="S9" t="s">
        <v>136</v>
      </c>
      <c r="T9" t="s">
        <v>136</v>
      </c>
      <c r="U9" t="s">
        <v>133</v>
      </c>
      <c r="V9" t="s">
        <v>136</v>
      </c>
      <c r="W9" t="s">
        <v>140</v>
      </c>
      <c r="X9" t="s">
        <v>136</v>
      </c>
      <c r="Y9" t="s">
        <v>133</v>
      </c>
      <c r="Z9" s="20" t="s">
        <v>186</v>
      </c>
      <c r="AA9" s="120">
        <f t="shared" si="1"/>
        <v>1</v>
      </c>
      <c r="AB9" s="120">
        <f t="shared" si="2"/>
        <v>1</v>
      </c>
      <c r="AC9" s="120">
        <f t="shared" si="3"/>
        <v>1</v>
      </c>
      <c r="AD9" s="120">
        <f t="shared" si="4"/>
        <v>1</v>
      </c>
      <c r="AE9" s="120">
        <f t="shared" si="5"/>
        <v>2</v>
      </c>
      <c r="AF9" s="120">
        <f t="shared" si="6"/>
        <v>2</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26</v>
      </c>
      <c r="BC9" s="136" t="str">
        <f t="shared" si="26"/>
        <v>04/09/24</v>
      </c>
      <c r="BD9" s="138">
        <f t="shared" si="27"/>
        <v>10.5</v>
      </c>
      <c r="BE9" s="138">
        <f t="shared" si="28"/>
        <v>0</v>
      </c>
      <c r="BF9" s="138">
        <f t="shared" si="29"/>
        <v>0</v>
      </c>
      <c r="BG9" s="138">
        <f t="shared" si="30"/>
        <v>0</v>
      </c>
      <c r="BH9" s="138">
        <f t="shared" si="31"/>
        <v>2</v>
      </c>
      <c r="BI9" s="138">
        <f t="shared" si="32"/>
        <v>0</v>
      </c>
      <c r="BJ9" s="138">
        <f t="shared" si="33"/>
        <v>0</v>
      </c>
      <c r="BK9" s="138">
        <f t="shared" si="34"/>
        <v>11.5</v>
      </c>
      <c r="BL9" s="138">
        <f t="shared" si="35"/>
        <v>0</v>
      </c>
      <c r="BM9" s="138">
        <f t="shared" si="36"/>
        <v>0</v>
      </c>
      <c r="BN9" s="138">
        <f t="shared" si="37"/>
        <v>0</v>
      </c>
      <c r="BO9" s="124">
        <f t="shared" si="38"/>
        <v>24</v>
      </c>
    </row>
    <row r="10" spans="1:67" ht="12.75" customHeight="1">
      <c r="A10" t="s">
        <v>355</v>
      </c>
      <c r="B10" t="s">
        <v>133</v>
      </c>
      <c r="C10" t="s">
        <v>133</v>
      </c>
      <c r="D10" t="s">
        <v>136</v>
      </c>
      <c r="E10" t="s">
        <v>140</v>
      </c>
      <c r="F10" t="s">
        <v>136</v>
      </c>
      <c r="G10" t="s">
        <v>140</v>
      </c>
      <c r="H10" t="s">
        <v>349</v>
      </c>
      <c r="I10" t="s">
        <v>136</v>
      </c>
      <c r="J10" t="s">
        <v>136</v>
      </c>
      <c r="K10" t="s">
        <v>136</v>
      </c>
      <c r="L10" t="s">
        <v>140</v>
      </c>
      <c r="M10" t="s">
        <v>140</v>
      </c>
      <c r="N10" t="s">
        <v>140</v>
      </c>
      <c r="O10" t="s">
        <v>140</v>
      </c>
      <c r="P10" t="s">
        <v>140</v>
      </c>
      <c r="Q10" t="s">
        <v>140</v>
      </c>
      <c r="R10" t="s">
        <v>136</v>
      </c>
      <c r="S10" t="s">
        <v>140</v>
      </c>
      <c r="T10" t="s">
        <v>140</v>
      </c>
      <c r="U10" t="s">
        <v>141</v>
      </c>
      <c r="V10" t="s">
        <v>136</v>
      </c>
      <c r="W10" t="s">
        <v>141</v>
      </c>
      <c r="X10" t="s">
        <v>133</v>
      </c>
      <c r="Y10" t="s">
        <v>136</v>
      </c>
      <c r="Z10" s="20" t="s">
        <v>186</v>
      </c>
      <c r="AA10" s="120">
        <f t="shared" si="1"/>
        <v>1</v>
      </c>
      <c r="AB10" s="120">
        <f t="shared" si="2"/>
        <v>1</v>
      </c>
      <c r="AC10" s="120">
        <f t="shared" si="3"/>
        <v>1</v>
      </c>
      <c r="AD10" s="120">
        <f t="shared" si="4"/>
        <v>1</v>
      </c>
      <c r="AE10" s="120">
        <f t="shared" si="5"/>
        <v>1</v>
      </c>
      <c r="AF10" s="120">
        <f t="shared" si="6"/>
        <v>1</v>
      </c>
      <c r="AG10" s="120">
        <f t="shared" si="7"/>
        <v>2</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25</v>
      </c>
      <c r="BC10" s="136" t="str">
        <f t="shared" si="26"/>
        <v>05/09/24</v>
      </c>
      <c r="BD10" s="138">
        <f t="shared" si="27"/>
        <v>12.5</v>
      </c>
      <c r="BE10" s="138">
        <f t="shared" si="28"/>
        <v>2.5</v>
      </c>
      <c r="BF10" s="138">
        <f t="shared" si="29"/>
        <v>0</v>
      </c>
      <c r="BG10" s="138">
        <f t="shared" si="30"/>
        <v>0</v>
      </c>
      <c r="BH10" s="138">
        <f t="shared" si="31"/>
        <v>0</v>
      </c>
      <c r="BI10" s="138">
        <f t="shared" si="32"/>
        <v>0</v>
      </c>
      <c r="BJ10" s="138">
        <f t="shared" si="33"/>
        <v>0</v>
      </c>
      <c r="BK10" s="138">
        <f t="shared" si="34"/>
        <v>9</v>
      </c>
      <c r="BL10" s="138">
        <f t="shared" si="35"/>
        <v>0</v>
      </c>
      <c r="BM10" s="138">
        <f t="shared" si="36"/>
        <v>0</v>
      </c>
      <c r="BN10" s="138">
        <f t="shared" si="37"/>
        <v>0</v>
      </c>
      <c r="BO10" s="124">
        <f t="shared" si="38"/>
        <v>24</v>
      </c>
    </row>
    <row r="11" spans="1:67" ht="12.75" customHeight="1">
      <c r="A11" t="s">
        <v>356</v>
      </c>
      <c r="B11" t="s">
        <v>136</v>
      </c>
      <c r="C11" t="s">
        <v>136</v>
      </c>
      <c r="D11" t="s">
        <v>136</v>
      </c>
      <c r="E11" t="s">
        <v>136</v>
      </c>
      <c r="F11" t="s">
        <v>136</v>
      </c>
      <c r="G11" t="s">
        <v>136</v>
      </c>
      <c r="H11" t="s">
        <v>140</v>
      </c>
      <c r="I11" t="s">
        <v>140</v>
      </c>
      <c r="J11" t="s">
        <v>141</v>
      </c>
      <c r="K11" t="s">
        <v>140</v>
      </c>
      <c r="L11" t="s">
        <v>140</v>
      </c>
      <c r="M11" t="s">
        <v>140</v>
      </c>
      <c r="N11" t="s">
        <v>140</v>
      </c>
      <c r="O11" t="s">
        <v>140</v>
      </c>
      <c r="P11" t="s">
        <v>140</v>
      </c>
      <c r="Q11" t="s">
        <v>140</v>
      </c>
      <c r="R11" t="s">
        <v>140</v>
      </c>
      <c r="S11" t="s">
        <v>140</v>
      </c>
      <c r="T11" t="s">
        <v>140</v>
      </c>
      <c r="U11" t="s">
        <v>136</v>
      </c>
      <c r="V11" t="s">
        <v>133</v>
      </c>
      <c r="W11" t="s">
        <v>136</v>
      </c>
      <c r="X11" t="s">
        <v>136</v>
      </c>
      <c r="Y11" t="s">
        <v>136</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24</v>
      </c>
      <c r="BC11" s="136" t="str">
        <f t="shared" si="26"/>
        <v>06/09/24</v>
      </c>
      <c r="BD11" s="138">
        <f t="shared" si="27"/>
        <v>8.5</v>
      </c>
      <c r="BE11" s="138">
        <f t="shared" si="28"/>
        <v>3</v>
      </c>
      <c r="BF11" s="138">
        <f t="shared" si="29"/>
        <v>0</v>
      </c>
      <c r="BG11" s="138">
        <f t="shared" si="30"/>
        <v>0</v>
      </c>
      <c r="BH11" s="138">
        <f t="shared" si="31"/>
        <v>2</v>
      </c>
      <c r="BI11" s="138">
        <f t="shared" si="32"/>
        <v>0</v>
      </c>
      <c r="BJ11" s="138">
        <f t="shared" si="33"/>
        <v>0</v>
      </c>
      <c r="BK11" s="138">
        <f t="shared" si="34"/>
        <v>10.5</v>
      </c>
      <c r="BL11" s="138">
        <f t="shared" si="35"/>
        <v>0</v>
      </c>
      <c r="BM11" s="138">
        <f t="shared" si="36"/>
        <v>0</v>
      </c>
      <c r="BN11" s="138">
        <f t="shared" si="37"/>
        <v>0</v>
      </c>
      <c r="BO11" s="124">
        <f t="shared" si="38"/>
        <v>24</v>
      </c>
    </row>
    <row r="12" spans="1:67" ht="12.75" customHeight="1">
      <c r="A12" t="s">
        <v>357</v>
      </c>
      <c r="B12" t="s">
        <v>136</v>
      </c>
      <c r="C12" t="s">
        <v>136</v>
      </c>
      <c r="D12" t="s">
        <v>136</v>
      </c>
      <c r="E12" t="s">
        <v>133</v>
      </c>
      <c r="F12" t="s">
        <v>136</v>
      </c>
      <c r="G12" t="s">
        <v>136</v>
      </c>
      <c r="H12" t="s">
        <v>136</v>
      </c>
      <c r="I12" t="s">
        <v>141</v>
      </c>
      <c r="J12" t="s">
        <v>136</v>
      </c>
      <c r="K12" t="s">
        <v>140</v>
      </c>
      <c r="L12" t="s">
        <v>140</v>
      </c>
      <c r="M12" t="s">
        <v>140</v>
      </c>
      <c r="N12" t="s">
        <v>349</v>
      </c>
      <c r="O12" t="s">
        <v>140</v>
      </c>
      <c r="P12" t="s">
        <v>140</v>
      </c>
      <c r="Q12" t="s">
        <v>140</v>
      </c>
      <c r="R12" t="s">
        <v>140</v>
      </c>
      <c r="S12" t="s">
        <v>140</v>
      </c>
      <c r="T12" t="s">
        <v>140</v>
      </c>
      <c r="U12" t="s">
        <v>140</v>
      </c>
      <c r="V12" t="s">
        <v>136</v>
      </c>
      <c r="W12" t="s">
        <v>133</v>
      </c>
      <c r="X12" t="s">
        <v>136</v>
      </c>
      <c r="Y12" t="s">
        <v>136</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2</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25</v>
      </c>
      <c r="BC12" s="136" t="str">
        <f t="shared" si="26"/>
        <v>07/09/24</v>
      </c>
      <c r="BD12" s="138">
        <f>AY143</f>
        <v>10</v>
      </c>
      <c r="BE12" s="138">
        <f t="shared" si="28"/>
        <v>1</v>
      </c>
      <c r="BF12" s="138">
        <f t="shared" si="29"/>
        <v>0</v>
      </c>
      <c r="BG12" s="138">
        <f t="shared" si="30"/>
        <v>0</v>
      </c>
      <c r="BH12" s="138">
        <f t="shared" si="31"/>
        <v>1</v>
      </c>
      <c r="BI12" s="138">
        <f t="shared" si="32"/>
        <v>0</v>
      </c>
      <c r="BJ12" s="138">
        <f t="shared" si="33"/>
        <v>0</v>
      </c>
      <c r="BK12" s="138">
        <f>AY275</f>
        <v>12</v>
      </c>
      <c r="BL12" s="138">
        <f t="shared" si="35"/>
        <v>0</v>
      </c>
      <c r="BM12" s="138">
        <f t="shared" si="36"/>
        <v>0</v>
      </c>
      <c r="BN12" s="138">
        <f t="shared" si="37"/>
        <v>0</v>
      </c>
      <c r="BO12" s="124">
        <f t="shared" si="38"/>
        <v>24</v>
      </c>
    </row>
    <row r="13" spans="1:67" ht="12.75" customHeight="1">
      <c r="A13" t="s">
        <v>358</v>
      </c>
      <c r="B13" t="s">
        <v>136</v>
      </c>
      <c r="C13" t="s">
        <v>136</v>
      </c>
      <c r="D13" t="s">
        <v>141</v>
      </c>
      <c r="E13" t="s">
        <v>141</v>
      </c>
      <c r="F13" t="s">
        <v>133</v>
      </c>
      <c r="G13" t="s">
        <v>136</v>
      </c>
      <c r="H13" t="s">
        <v>136</v>
      </c>
      <c r="I13" t="s">
        <v>354</v>
      </c>
      <c r="J13" t="s">
        <v>354</v>
      </c>
      <c r="K13" t="s">
        <v>141</v>
      </c>
      <c r="L13" t="s">
        <v>140</v>
      </c>
      <c r="M13" t="s">
        <v>140</v>
      </c>
      <c r="N13" t="s">
        <v>140</v>
      </c>
      <c r="O13" t="s">
        <v>140</v>
      </c>
      <c r="P13" t="s">
        <v>140</v>
      </c>
      <c r="Q13" t="s">
        <v>140</v>
      </c>
      <c r="R13" t="s">
        <v>140</v>
      </c>
      <c r="S13" t="s">
        <v>140</v>
      </c>
      <c r="T13" t="s">
        <v>140</v>
      </c>
      <c r="U13" t="s">
        <v>133</v>
      </c>
      <c r="V13" t="s">
        <v>136</v>
      </c>
      <c r="W13" t="s">
        <v>140</v>
      </c>
      <c r="X13" t="s">
        <v>141</v>
      </c>
      <c r="Y13" t="s">
        <v>141</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2</v>
      </c>
      <c r="AI13" s="120">
        <f t="shared" si="9"/>
        <v>2</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26</v>
      </c>
      <c r="BC13" s="136" t="str">
        <f t="shared" si="26"/>
        <v>08/09/24</v>
      </c>
      <c r="BD13" s="138">
        <f t="shared" si="27"/>
        <v>10.5</v>
      </c>
      <c r="BE13" s="138">
        <f t="shared" si="28"/>
        <v>2</v>
      </c>
      <c r="BF13" s="138">
        <f t="shared" si="29"/>
        <v>0</v>
      </c>
      <c r="BG13" s="138">
        <f t="shared" si="30"/>
        <v>0</v>
      </c>
      <c r="BH13" s="138">
        <f t="shared" si="31"/>
        <v>1</v>
      </c>
      <c r="BI13" s="138">
        <f t="shared" si="32"/>
        <v>0</v>
      </c>
      <c r="BJ13" s="138">
        <f t="shared" si="33"/>
        <v>0</v>
      </c>
      <c r="BK13" s="138">
        <f t="shared" si="34"/>
        <v>10.5</v>
      </c>
      <c r="BL13" s="138">
        <f t="shared" si="35"/>
        <v>0</v>
      </c>
      <c r="BM13" s="138">
        <f t="shared" si="36"/>
        <v>0</v>
      </c>
      <c r="BN13" s="138">
        <f t="shared" si="37"/>
        <v>0</v>
      </c>
      <c r="BO13" s="124">
        <f t="shared" si="38"/>
        <v>24</v>
      </c>
    </row>
    <row r="14" spans="1:67" ht="12.75" customHeight="1">
      <c r="A14" t="s">
        <v>359</v>
      </c>
      <c r="B14" t="s">
        <v>141</v>
      </c>
      <c r="C14" t="s">
        <v>136</v>
      </c>
      <c r="D14" t="s">
        <v>349</v>
      </c>
      <c r="E14" t="s">
        <v>136</v>
      </c>
      <c r="F14" t="s">
        <v>136</v>
      </c>
      <c r="G14" t="s">
        <v>349</v>
      </c>
      <c r="H14" t="s">
        <v>136</v>
      </c>
      <c r="I14" t="s">
        <v>136</v>
      </c>
      <c r="J14" t="s">
        <v>136</v>
      </c>
      <c r="K14" t="s">
        <v>350</v>
      </c>
      <c r="L14" t="s">
        <v>140</v>
      </c>
      <c r="M14" t="s">
        <v>140</v>
      </c>
      <c r="N14" t="s">
        <v>140</v>
      </c>
      <c r="O14" t="s">
        <v>136</v>
      </c>
      <c r="P14" t="s">
        <v>140</v>
      </c>
      <c r="Q14" t="s">
        <v>140</v>
      </c>
      <c r="R14" t="s">
        <v>140</v>
      </c>
      <c r="S14" t="s">
        <v>140</v>
      </c>
      <c r="T14" t="s">
        <v>140</v>
      </c>
      <c r="U14" t="s">
        <v>136</v>
      </c>
      <c r="V14" t="s">
        <v>136</v>
      </c>
      <c r="W14" t="s">
        <v>136</v>
      </c>
      <c r="X14" t="s">
        <v>133</v>
      </c>
      <c r="Y14" t="s">
        <v>136</v>
      </c>
      <c r="Z14" s="20" t="s">
        <v>186</v>
      </c>
      <c r="AA14" s="120">
        <f t="shared" si="1"/>
        <v>1</v>
      </c>
      <c r="AB14" s="120">
        <f t="shared" si="2"/>
        <v>1</v>
      </c>
      <c r="AC14" s="120">
        <f t="shared" si="3"/>
        <v>2</v>
      </c>
      <c r="AD14" s="120">
        <f t="shared" si="4"/>
        <v>1</v>
      </c>
      <c r="AE14" s="120">
        <f t="shared" si="5"/>
        <v>1</v>
      </c>
      <c r="AF14" s="120">
        <f t="shared" si="6"/>
        <v>2</v>
      </c>
      <c r="AG14" s="120">
        <f t="shared" si="7"/>
        <v>1</v>
      </c>
      <c r="AH14" s="120">
        <f t="shared" si="8"/>
        <v>1</v>
      </c>
      <c r="AI14" s="120">
        <f t="shared" si="9"/>
        <v>1</v>
      </c>
      <c r="AJ14" s="120">
        <f t="shared" si="10"/>
        <v>3</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28</v>
      </c>
      <c r="BC14" s="136" t="str">
        <f t="shared" si="26"/>
        <v>09/09/24</v>
      </c>
      <c r="BD14" s="138">
        <f t="shared" si="27"/>
        <v>5</v>
      </c>
      <c r="BE14" s="138">
        <f t="shared" si="28"/>
        <v>3</v>
      </c>
      <c r="BF14" s="138">
        <f t="shared" si="29"/>
        <v>0</v>
      </c>
      <c r="BG14" s="138">
        <f t="shared" si="30"/>
        <v>0</v>
      </c>
      <c r="BH14" s="138">
        <f t="shared" si="31"/>
        <v>5</v>
      </c>
      <c r="BI14" s="138">
        <f t="shared" si="32"/>
        <v>0</v>
      </c>
      <c r="BJ14" s="138">
        <f t="shared" si="33"/>
        <v>0</v>
      </c>
      <c r="BK14" s="138">
        <f t="shared" si="34"/>
        <v>11</v>
      </c>
      <c r="BL14" s="138">
        <f t="shared" si="35"/>
        <v>0</v>
      </c>
      <c r="BM14" s="138">
        <f t="shared" si="36"/>
        <v>0</v>
      </c>
      <c r="BN14" s="138">
        <f t="shared" si="37"/>
        <v>0</v>
      </c>
      <c r="BO14" s="124">
        <f t="shared" si="38"/>
        <v>24</v>
      </c>
    </row>
    <row r="15" spans="1:67" ht="12.75" customHeight="1">
      <c r="A15" t="s">
        <v>360</v>
      </c>
      <c r="B15" t="s">
        <v>136</v>
      </c>
      <c r="C15" t="s">
        <v>140</v>
      </c>
      <c r="D15" t="s">
        <v>361</v>
      </c>
      <c r="E15" t="s">
        <v>136</v>
      </c>
      <c r="F15" t="s">
        <v>140</v>
      </c>
      <c r="G15" t="s">
        <v>140</v>
      </c>
      <c r="H15" t="s">
        <v>140</v>
      </c>
      <c r="I15" t="s">
        <v>133</v>
      </c>
      <c r="J15" t="s">
        <v>133</v>
      </c>
      <c r="K15" t="s">
        <v>140</v>
      </c>
      <c r="L15" t="s">
        <v>140</v>
      </c>
      <c r="M15" t="s">
        <v>140</v>
      </c>
      <c r="N15" t="s">
        <v>140</v>
      </c>
      <c r="O15" t="s">
        <v>140</v>
      </c>
      <c r="P15" t="s">
        <v>140</v>
      </c>
      <c r="Q15" t="s">
        <v>140</v>
      </c>
      <c r="R15" t="s">
        <v>140</v>
      </c>
      <c r="S15" t="s">
        <v>140</v>
      </c>
      <c r="T15" t="s">
        <v>140</v>
      </c>
      <c r="U15" t="s">
        <v>349</v>
      </c>
      <c r="V15" t="s">
        <v>140</v>
      </c>
      <c r="W15" t="s">
        <v>133</v>
      </c>
      <c r="X15" t="s">
        <v>133</v>
      </c>
      <c r="Y15" t="s">
        <v>133</v>
      </c>
      <c r="Z15" s="20" t="s">
        <v>186</v>
      </c>
      <c r="AA15" s="120">
        <f t="shared" si="1"/>
        <v>1</v>
      </c>
      <c r="AB15" s="120">
        <f t="shared" si="2"/>
        <v>1</v>
      </c>
      <c r="AC15" s="120">
        <f t="shared" si="3"/>
        <v>3</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2</v>
      </c>
      <c r="AU15" s="120">
        <f t="shared" si="21"/>
        <v>1</v>
      </c>
      <c r="AV15" s="120">
        <f t="shared" si="22"/>
        <v>1</v>
      </c>
      <c r="AW15" s="120">
        <f t="shared" si="23"/>
        <v>1</v>
      </c>
      <c r="AX15" s="120">
        <f t="shared" si="24"/>
        <v>1</v>
      </c>
      <c r="AY15" s="120">
        <f t="shared" si="25"/>
        <v>27</v>
      </c>
      <c r="BC15" s="136" t="str">
        <f t="shared" si="26"/>
        <v>10/09/24</v>
      </c>
      <c r="BD15" s="138">
        <f t="shared" si="27"/>
        <v>12.333333333333332</v>
      </c>
      <c r="BE15" s="138">
        <f t="shared" si="28"/>
        <v>1.3333333333333333</v>
      </c>
      <c r="BF15" s="138">
        <f t="shared" si="29"/>
        <v>0</v>
      </c>
      <c r="BG15" s="138">
        <f t="shared" si="30"/>
        <v>0</v>
      </c>
      <c r="BH15" s="138">
        <f t="shared" si="31"/>
        <v>1</v>
      </c>
      <c r="BI15" s="138">
        <f t="shared" si="32"/>
        <v>0</v>
      </c>
      <c r="BJ15" s="138">
        <f t="shared" si="33"/>
        <v>0</v>
      </c>
      <c r="BK15" s="138">
        <f t="shared" si="34"/>
        <v>9.3333333333333321</v>
      </c>
      <c r="BL15" s="138">
        <f t="shared" si="35"/>
        <v>0</v>
      </c>
      <c r="BM15" s="138">
        <f t="shared" si="36"/>
        <v>0</v>
      </c>
      <c r="BN15" s="138">
        <f t="shared" si="37"/>
        <v>0</v>
      </c>
      <c r="BO15" s="124">
        <f t="shared" si="38"/>
        <v>24</v>
      </c>
    </row>
    <row r="16" spans="1:67" ht="12.75" customHeight="1">
      <c r="A16" t="s">
        <v>362</v>
      </c>
      <c r="B16" t="s">
        <v>136</v>
      </c>
      <c r="C16" t="s">
        <v>136</v>
      </c>
      <c r="D16" t="s">
        <v>349</v>
      </c>
      <c r="E16" t="s">
        <v>349</v>
      </c>
      <c r="F16" t="s">
        <v>136</v>
      </c>
      <c r="G16" t="s">
        <v>136</v>
      </c>
      <c r="H16" t="s">
        <v>136</v>
      </c>
      <c r="I16" t="s">
        <v>141</v>
      </c>
      <c r="J16" t="s">
        <v>141</v>
      </c>
      <c r="K16" t="s">
        <v>133</v>
      </c>
      <c r="L16" t="s">
        <v>140</v>
      </c>
      <c r="M16" t="s">
        <v>140</v>
      </c>
      <c r="N16" t="s">
        <v>140</v>
      </c>
      <c r="O16" t="s">
        <v>140</v>
      </c>
      <c r="P16" t="s">
        <v>140</v>
      </c>
      <c r="Q16" t="s">
        <v>140</v>
      </c>
      <c r="R16" t="s">
        <v>140</v>
      </c>
      <c r="S16" t="s">
        <v>140</v>
      </c>
      <c r="T16" t="s">
        <v>140</v>
      </c>
      <c r="U16" t="s">
        <v>349</v>
      </c>
      <c r="V16" t="s">
        <v>133</v>
      </c>
      <c r="W16" t="s">
        <v>133</v>
      </c>
      <c r="X16" t="s">
        <v>140</v>
      </c>
      <c r="Y16" t="s">
        <v>133</v>
      </c>
      <c r="Z16" s="20" t="s">
        <v>186</v>
      </c>
      <c r="AA16" s="120">
        <f t="shared" si="1"/>
        <v>1</v>
      </c>
      <c r="AB16" s="120">
        <f t="shared" si="2"/>
        <v>1</v>
      </c>
      <c r="AC16" s="120">
        <f t="shared" si="3"/>
        <v>2</v>
      </c>
      <c r="AD16" s="120">
        <f t="shared" si="4"/>
        <v>2</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2</v>
      </c>
      <c r="AU16" s="120">
        <f t="shared" si="21"/>
        <v>1</v>
      </c>
      <c r="AV16" s="120">
        <f t="shared" si="22"/>
        <v>1</v>
      </c>
      <c r="AW16" s="120">
        <f t="shared" si="23"/>
        <v>1</v>
      </c>
      <c r="AX16" s="120">
        <f t="shared" si="24"/>
        <v>1</v>
      </c>
      <c r="AY16" s="120">
        <f t="shared" si="25"/>
        <v>27</v>
      </c>
      <c r="BC16" s="136" t="str">
        <f t="shared" si="26"/>
        <v>11/09/24</v>
      </c>
      <c r="BD16" s="138">
        <f t="shared" si="27"/>
        <v>2.833333333333333</v>
      </c>
      <c r="BE16" s="138">
        <f t="shared" si="28"/>
        <v>5</v>
      </c>
      <c r="BF16" s="138">
        <f t="shared" si="29"/>
        <v>0</v>
      </c>
      <c r="BG16" s="138">
        <f t="shared" si="30"/>
        <v>0</v>
      </c>
      <c r="BH16" s="138">
        <f t="shared" si="31"/>
        <v>0</v>
      </c>
      <c r="BI16" s="138">
        <f t="shared" si="32"/>
        <v>0</v>
      </c>
      <c r="BJ16" s="138">
        <f t="shared" si="33"/>
        <v>0.33333333333333331</v>
      </c>
      <c r="BK16" s="138">
        <f t="shared" si="34"/>
        <v>15.833333333333332</v>
      </c>
      <c r="BL16" s="138">
        <f t="shared" si="35"/>
        <v>0</v>
      </c>
      <c r="BM16" s="138">
        <f t="shared" si="36"/>
        <v>0</v>
      </c>
      <c r="BN16" s="138">
        <f t="shared" si="37"/>
        <v>0</v>
      </c>
      <c r="BO16" s="124">
        <f t="shared" si="38"/>
        <v>24</v>
      </c>
    </row>
    <row r="17" spans="1:67" ht="12.75" customHeight="1">
      <c r="A17" t="s">
        <v>363</v>
      </c>
      <c r="B17" t="s">
        <v>136</v>
      </c>
      <c r="C17" t="s">
        <v>136</v>
      </c>
      <c r="D17" t="s">
        <v>136</v>
      </c>
      <c r="E17" t="s">
        <v>136</v>
      </c>
      <c r="F17" t="s">
        <v>136</v>
      </c>
      <c r="G17" t="s">
        <v>140</v>
      </c>
      <c r="H17" t="s">
        <v>133</v>
      </c>
      <c r="I17" t="s">
        <v>133</v>
      </c>
      <c r="J17" t="s">
        <v>136</v>
      </c>
      <c r="K17" t="s">
        <v>140</v>
      </c>
      <c r="L17" t="s">
        <v>140</v>
      </c>
      <c r="M17" t="s">
        <v>140</v>
      </c>
      <c r="N17" t="s">
        <v>140</v>
      </c>
      <c r="O17" t="s">
        <v>140</v>
      </c>
      <c r="P17" t="s">
        <v>140</v>
      </c>
      <c r="Q17" t="s">
        <v>140</v>
      </c>
      <c r="R17" t="s">
        <v>140</v>
      </c>
      <c r="S17" t="s">
        <v>140</v>
      </c>
      <c r="T17" t="s">
        <v>140</v>
      </c>
      <c r="U17" t="s">
        <v>140</v>
      </c>
      <c r="V17" t="s">
        <v>133</v>
      </c>
      <c r="W17" t="s">
        <v>136</v>
      </c>
      <c r="X17" t="s">
        <v>133</v>
      </c>
      <c r="Y17" t="s">
        <v>140</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24</v>
      </c>
      <c r="BC17" s="136" t="str">
        <f t="shared" si="26"/>
        <v>12/09/24</v>
      </c>
      <c r="BD17" s="138">
        <f t="shared" si="27"/>
        <v>6.5</v>
      </c>
      <c r="BE17" s="138">
        <f t="shared" si="28"/>
        <v>4</v>
      </c>
      <c r="BF17" s="138">
        <f t="shared" si="29"/>
        <v>0</v>
      </c>
      <c r="BG17" s="138">
        <f t="shared" si="30"/>
        <v>0</v>
      </c>
      <c r="BH17" s="138">
        <f t="shared" si="31"/>
        <v>2</v>
      </c>
      <c r="BI17" s="138">
        <f t="shared" si="32"/>
        <v>0</v>
      </c>
      <c r="BJ17" s="138">
        <f t="shared" si="33"/>
        <v>0</v>
      </c>
      <c r="BK17" s="138">
        <f t="shared" si="34"/>
        <v>11.5</v>
      </c>
      <c r="BL17" s="138">
        <f t="shared" si="35"/>
        <v>0</v>
      </c>
      <c r="BM17" s="138">
        <f t="shared" si="36"/>
        <v>0</v>
      </c>
      <c r="BN17" s="138">
        <f t="shared" si="37"/>
        <v>0</v>
      </c>
      <c r="BO17" s="124">
        <f t="shared" si="38"/>
        <v>24</v>
      </c>
    </row>
    <row r="18" spans="1:67" ht="12.75" customHeight="1">
      <c r="A18" t="s">
        <v>364</v>
      </c>
      <c r="B18" t="s">
        <v>140</v>
      </c>
      <c r="C18" t="s">
        <v>136</v>
      </c>
      <c r="D18" t="s">
        <v>140</v>
      </c>
      <c r="E18" t="s">
        <v>136</v>
      </c>
      <c r="F18" t="s">
        <v>140</v>
      </c>
      <c r="G18" t="s">
        <v>140</v>
      </c>
      <c r="H18" t="s">
        <v>136</v>
      </c>
      <c r="I18" t="s">
        <v>136</v>
      </c>
      <c r="J18" t="s">
        <v>140</v>
      </c>
      <c r="K18" t="s">
        <v>136</v>
      </c>
      <c r="L18" t="s">
        <v>140</v>
      </c>
      <c r="M18" t="s">
        <v>140</v>
      </c>
      <c r="N18" t="s">
        <v>140</v>
      </c>
      <c r="O18" t="s">
        <v>140</v>
      </c>
      <c r="P18" t="s">
        <v>140</v>
      </c>
      <c r="Q18" t="s">
        <v>140</v>
      </c>
      <c r="R18" t="s">
        <v>140</v>
      </c>
      <c r="S18" t="s">
        <v>140</v>
      </c>
      <c r="T18" t="s">
        <v>136</v>
      </c>
      <c r="U18" t="s">
        <v>136</v>
      </c>
      <c r="V18" t="s">
        <v>140</v>
      </c>
      <c r="W18" t="s">
        <v>140</v>
      </c>
      <c r="X18" t="s">
        <v>136</v>
      </c>
      <c r="Y18" t="s">
        <v>133</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24</v>
      </c>
      <c r="BC18" s="136" t="str">
        <f t="shared" si="26"/>
        <v>13/09/24</v>
      </c>
      <c r="BD18" s="138">
        <f t="shared" si="27"/>
        <v>7</v>
      </c>
      <c r="BE18" s="138">
        <f t="shared" si="28"/>
        <v>4</v>
      </c>
      <c r="BF18" s="138">
        <f t="shared" si="29"/>
        <v>0</v>
      </c>
      <c r="BG18" s="138">
        <f t="shared" si="30"/>
        <v>0</v>
      </c>
      <c r="BH18" s="138">
        <f t="shared" si="31"/>
        <v>0</v>
      </c>
      <c r="BI18" s="138">
        <f t="shared" si="32"/>
        <v>0</v>
      </c>
      <c r="BJ18" s="138">
        <f t="shared" si="33"/>
        <v>0</v>
      </c>
      <c r="BK18" s="138">
        <f t="shared" si="34"/>
        <v>13</v>
      </c>
      <c r="BL18" s="138">
        <f t="shared" si="35"/>
        <v>0</v>
      </c>
      <c r="BM18" s="138">
        <f t="shared" si="36"/>
        <v>0</v>
      </c>
      <c r="BN18" s="138">
        <f t="shared" si="37"/>
        <v>0</v>
      </c>
      <c r="BO18" s="124">
        <f t="shared" si="38"/>
        <v>24</v>
      </c>
    </row>
    <row r="19" spans="1:67" ht="12.75" customHeight="1">
      <c r="A19" t="s">
        <v>365</v>
      </c>
      <c r="B19" t="s">
        <v>133</v>
      </c>
      <c r="C19" t="s">
        <v>133</v>
      </c>
      <c r="D19" t="s">
        <v>140</v>
      </c>
      <c r="E19" t="s">
        <v>136</v>
      </c>
      <c r="F19" t="s">
        <v>136</v>
      </c>
      <c r="G19" t="s">
        <v>136</v>
      </c>
      <c r="H19" t="s">
        <v>136</v>
      </c>
      <c r="I19" t="s">
        <v>136</v>
      </c>
      <c r="J19" t="s">
        <v>140</v>
      </c>
      <c r="K19" t="s">
        <v>140</v>
      </c>
      <c r="L19" t="s">
        <v>140</v>
      </c>
      <c r="M19" t="s">
        <v>140</v>
      </c>
      <c r="N19" t="s">
        <v>140</v>
      </c>
      <c r="O19" t="s">
        <v>140</v>
      </c>
      <c r="P19" t="s">
        <v>140</v>
      </c>
      <c r="Q19" t="s">
        <v>140</v>
      </c>
      <c r="R19" t="s">
        <v>140</v>
      </c>
      <c r="S19" t="s">
        <v>140</v>
      </c>
      <c r="T19" t="s">
        <v>140</v>
      </c>
      <c r="U19" t="s">
        <v>136</v>
      </c>
      <c r="V19" t="s">
        <v>140</v>
      </c>
      <c r="W19" t="s">
        <v>136</v>
      </c>
      <c r="X19" t="s">
        <v>133</v>
      </c>
      <c r="Y19" t="s">
        <v>136</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24</v>
      </c>
      <c r="BC19" s="136" t="str">
        <f t="shared" si="26"/>
        <v>14/09/24</v>
      </c>
      <c r="BD19" s="138">
        <f t="shared" si="27"/>
        <v>8</v>
      </c>
      <c r="BE19" s="138">
        <f t="shared" si="28"/>
        <v>1</v>
      </c>
      <c r="BF19" s="138">
        <f t="shared" si="29"/>
        <v>0</v>
      </c>
      <c r="BG19" s="138">
        <f t="shared" si="30"/>
        <v>0</v>
      </c>
      <c r="BH19" s="138">
        <f t="shared" si="31"/>
        <v>0</v>
      </c>
      <c r="BI19" s="138">
        <f t="shared" si="32"/>
        <v>0</v>
      </c>
      <c r="BJ19" s="138">
        <f t="shared" si="33"/>
        <v>0</v>
      </c>
      <c r="BK19" s="138">
        <f t="shared" si="34"/>
        <v>15</v>
      </c>
      <c r="BL19" s="138">
        <f t="shared" si="35"/>
        <v>0</v>
      </c>
      <c r="BM19" s="138">
        <f t="shared" si="36"/>
        <v>0</v>
      </c>
      <c r="BN19" s="138">
        <f t="shared" si="37"/>
        <v>0</v>
      </c>
      <c r="BO19" s="124">
        <f t="shared" si="38"/>
        <v>24</v>
      </c>
    </row>
    <row r="20" spans="1:67" ht="12.75" customHeight="1">
      <c r="A20" t="s">
        <v>366</v>
      </c>
      <c r="B20" t="s">
        <v>347</v>
      </c>
      <c r="C20" t="s">
        <v>140</v>
      </c>
      <c r="D20" t="s">
        <v>140</v>
      </c>
      <c r="E20" t="s">
        <v>140</v>
      </c>
      <c r="F20" t="s">
        <v>140</v>
      </c>
      <c r="G20" t="s">
        <v>140</v>
      </c>
      <c r="H20" t="s">
        <v>140</v>
      </c>
      <c r="I20" t="s">
        <v>367</v>
      </c>
      <c r="J20" t="s">
        <v>367</v>
      </c>
      <c r="K20" t="s">
        <v>136</v>
      </c>
      <c r="L20" t="s">
        <v>140</v>
      </c>
      <c r="M20" t="s">
        <v>349</v>
      </c>
      <c r="N20" t="s">
        <v>140</v>
      </c>
      <c r="O20" t="s">
        <v>140</v>
      </c>
      <c r="P20" t="s">
        <v>140</v>
      </c>
      <c r="Q20" t="s">
        <v>140</v>
      </c>
      <c r="R20" t="s">
        <v>140</v>
      </c>
      <c r="S20" t="s">
        <v>349</v>
      </c>
      <c r="T20" t="s">
        <v>140</v>
      </c>
      <c r="U20" t="s">
        <v>133</v>
      </c>
      <c r="V20" t="s">
        <v>136</v>
      </c>
      <c r="W20" t="s">
        <v>136</v>
      </c>
      <c r="X20" t="s">
        <v>136</v>
      </c>
      <c r="Y20" t="s">
        <v>136</v>
      </c>
      <c r="Z20" s="20" t="s">
        <v>186</v>
      </c>
      <c r="AA20" s="120">
        <f t="shared" si="1"/>
        <v>2</v>
      </c>
      <c r="AB20" s="120">
        <f t="shared" si="2"/>
        <v>1</v>
      </c>
      <c r="AC20" s="120">
        <f t="shared" si="3"/>
        <v>1</v>
      </c>
      <c r="AD20" s="120">
        <f t="shared" si="4"/>
        <v>1</v>
      </c>
      <c r="AE20" s="120">
        <f t="shared" si="5"/>
        <v>1</v>
      </c>
      <c r="AF20" s="120">
        <f t="shared" si="6"/>
        <v>1</v>
      </c>
      <c r="AG20" s="120">
        <f t="shared" si="7"/>
        <v>1</v>
      </c>
      <c r="AH20" s="120">
        <f t="shared" si="8"/>
        <v>3</v>
      </c>
      <c r="AI20" s="120">
        <f t="shared" si="9"/>
        <v>3</v>
      </c>
      <c r="AJ20" s="120">
        <f t="shared" si="10"/>
        <v>1</v>
      </c>
      <c r="AK20" s="120">
        <f t="shared" si="11"/>
        <v>1</v>
      </c>
      <c r="AL20" s="120">
        <f t="shared" si="12"/>
        <v>2</v>
      </c>
      <c r="AM20" s="120">
        <f t="shared" si="13"/>
        <v>1</v>
      </c>
      <c r="AN20" s="120">
        <f t="shared" si="14"/>
        <v>1</v>
      </c>
      <c r="AO20" s="120">
        <f t="shared" si="15"/>
        <v>1</v>
      </c>
      <c r="AP20" s="120">
        <f t="shared" si="16"/>
        <v>1</v>
      </c>
      <c r="AQ20" s="120">
        <f t="shared" si="17"/>
        <v>1</v>
      </c>
      <c r="AR20" s="120">
        <f t="shared" si="18"/>
        <v>2</v>
      </c>
      <c r="AS20" s="120">
        <f t="shared" si="19"/>
        <v>1</v>
      </c>
      <c r="AT20" s="120">
        <f t="shared" si="20"/>
        <v>1</v>
      </c>
      <c r="AU20" s="120">
        <f t="shared" si="21"/>
        <v>1</v>
      </c>
      <c r="AV20" s="120">
        <f t="shared" si="22"/>
        <v>1</v>
      </c>
      <c r="AW20" s="120">
        <f t="shared" si="23"/>
        <v>1</v>
      </c>
      <c r="AX20" s="120">
        <f t="shared" si="24"/>
        <v>1</v>
      </c>
      <c r="AY20" s="120">
        <f t="shared" si="25"/>
        <v>31</v>
      </c>
      <c r="BC20" s="136" t="str">
        <f t="shared" si="26"/>
        <v>15/09/24</v>
      </c>
      <c r="BD20" s="138">
        <f t="shared" si="27"/>
        <v>8</v>
      </c>
      <c r="BE20" s="138">
        <f t="shared" si="28"/>
        <v>3</v>
      </c>
      <c r="BF20" s="138">
        <f t="shared" si="29"/>
        <v>0</v>
      </c>
      <c r="BG20" s="138">
        <f t="shared" si="30"/>
        <v>0</v>
      </c>
      <c r="BH20" s="138">
        <f t="shared" si="31"/>
        <v>0</v>
      </c>
      <c r="BI20" s="138">
        <f t="shared" si="32"/>
        <v>0</v>
      </c>
      <c r="BJ20" s="138">
        <f t="shared" si="33"/>
        <v>0</v>
      </c>
      <c r="BK20" s="138">
        <f t="shared" si="34"/>
        <v>13</v>
      </c>
      <c r="BL20" s="138">
        <f t="shared" si="35"/>
        <v>0</v>
      </c>
      <c r="BM20" s="138">
        <f t="shared" si="36"/>
        <v>0</v>
      </c>
      <c r="BN20" s="138">
        <f t="shared" si="37"/>
        <v>0</v>
      </c>
      <c r="BO20" s="124">
        <f t="shared" si="38"/>
        <v>24</v>
      </c>
    </row>
    <row r="21" spans="1:67" ht="12.75" customHeight="1">
      <c r="A21" t="s">
        <v>368</v>
      </c>
      <c r="B21" t="s">
        <v>133</v>
      </c>
      <c r="C21" t="s">
        <v>140</v>
      </c>
      <c r="D21" t="s">
        <v>140</v>
      </c>
      <c r="E21" t="s">
        <v>140</v>
      </c>
      <c r="F21" t="s">
        <v>140</v>
      </c>
      <c r="G21" t="s">
        <v>140</v>
      </c>
      <c r="H21" t="s">
        <v>133</v>
      </c>
      <c r="I21" t="s">
        <v>140</v>
      </c>
      <c r="J21" t="s">
        <v>136</v>
      </c>
      <c r="K21" t="s">
        <v>133</v>
      </c>
      <c r="L21" t="s">
        <v>140</v>
      </c>
      <c r="M21" t="s">
        <v>349</v>
      </c>
      <c r="N21" t="s">
        <v>140</v>
      </c>
      <c r="O21" t="s">
        <v>140</v>
      </c>
      <c r="P21" t="s">
        <v>140</v>
      </c>
      <c r="Q21" t="s">
        <v>140</v>
      </c>
      <c r="R21" t="s">
        <v>140</v>
      </c>
      <c r="S21" t="s">
        <v>140</v>
      </c>
      <c r="T21" t="s">
        <v>140</v>
      </c>
      <c r="U21" t="s">
        <v>140</v>
      </c>
      <c r="V21" t="s">
        <v>140</v>
      </c>
      <c r="W21" t="s">
        <v>136</v>
      </c>
      <c r="X21" t="s">
        <v>133</v>
      </c>
      <c r="Y21" t="s">
        <v>140</v>
      </c>
      <c r="Z21" s="20" t="s">
        <v>186</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2</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25</v>
      </c>
      <c r="BC21" s="136" t="str">
        <f t="shared" si="26"/>
        <v>16/09/24</v>
      </c>
      <c r="BD21" s="138">
        <f t="shared" si="27"/>
        <v>7.1666666666666661</v>
      </c>
      <c r="BE21" s="138">
        <f t="shared" si="28"/>
        <v>2.1666666666666665</v>
      </c>
      <c r="BF21" s="138">
        <f t="shared" si="29"/>
        <v>0</v>
      </c>
      <c r="BG21" s="138">
        <f t="shared" si="30"/>
        <v>0</v>
      </c>
      <c r="BH21" s="138">
        <f t="shared" si="31"/>
        <v>0</v>
      </c>
      <c r="BI21" s="138">
        <f t="shared" si="32"/>
        <v>0</v>
      </c>
      <c r="BJ21" s="138">
        <f t="shared" si="33"/>
        <v>0.66666666666666663</v>
      </c>
      <c r="BK21" s="138">
        <f t="shared" si="34"/>
        <v>14</v>
      </c>
      <c r="BL21" s="138">
        <f t="shared" si="35"/>
        <v>0</v>
      </c>
      <c r="BM21" s="138">
        <f t="shared" si="36"/>
        <v>0</v>
      </c>
      <c r="BN21" s="138">
        <f t="shared" si="37"/>
        <v>0</v>
      </c>
      <c r="BO21" s="124">
        <f t="shared" si="38"/>
        <v>24</v>
      </c>
    </row>
    <row r="22" spans="1:67" ht="12.75" customHeight="1">
      <c r="A22" t="s">
        <v>369</v>
      </c>
      <c r="B22" t="s">
        <v>140</v>
      </c>
      <c r="C22" t="s">
        <v>354</v>
      </c>
      <c r="D22" t="s">
        <v>136</v>
      </c>
      <c r="E22" t="s">
        <v>136</v>
      </c>
      <c r="F22" t="s">
        <v>136</v>
      </c>
      <c r="G22" t="s">
        <v>136</v>
      </c>
      <c r="H22" t="s">
        <v>141</v>
      </c>
      <c r="I22" t="s">
        <v>141</v>
      </c>
      <c r="J22" t="s">
        <v>140</v>
      </c>
      <c r="K22" t="s">
        <v>136</v>
      </c>
      <c r="L22" t="s">
        <v>133</v>
      </c>
      <c r="M22" t="s">
        <v>136</v>
      </c>
      <c r="N22" t="s">
        <v>140</v>
      </c>
      <c r="O22" t="s">
        <v>140</v>
      </c>
      <c r="P22" t="s">
        <v>136</v>
      </c>
      <c r="Q22" t="s">
        <v>136</v>
      </c>
      <c r="R22" t="s">
        <v>136</v>
      </c>
      <c r="S22" t="s">
        <v>133</v>
      </c>
      <c r="T22" t="s">
        <v>140</v>
      </c>
      <c r="U22" t="s">
        <v>136</v>
      </c>
      <c r="V22" t="s">
        <v>136</v>
      </c>
      <c r="W22" t="s">
        <v>136</v>
      </c>
      <c r="X22" t="s">
        <v>136</v>
      </c>
      <c r="Y22" t="s">
        <v>141</v>
      </c>
      <c r="Z22" s="20" t="s">
        <v>186</v>
      </c>
      <c r="AA22" s="120">
        <f t="shared" si="1"/>
        <v>1</v>
      </c>
      <c r="AB22" s="120">
        <f t="shared" si="2"/>
        <v>2</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25</v>
      </c>
      <c r="BC22" s="136" t="str">
        <f t="shared" si="26"/>
        <v>17/09/24</v>
      </c>
      <c r="BD22" s="138">
        <f t="shared" si="27"/>
        <v>2.5</v>
      </c>
      <c r="BE22" s="138">
        <f t="shared" si="28"/>
        <v>4</v>
      </c>
      <c r="BF22" s="138">
        <f t="shared" si="29"/>
        <v>0</v>
      </c>
      <c r="BG22" s="138">
        <f t="shared" si="30"/>
        <v>0</v>
      </c>
      <c r="BH22" s="138">
        <f t="shared" si="31"/>
        <v>0</v>
      </c>
      <c r="BI22" s="138">
        <f t="shared" si="32"/>
        <v>0</v>
      </c>
      <c r="BJ22" s="138">
        <f t="shared" si="33"/>
        <v>0</v>
      </c>
      <c r="BK22" s="138">
        <f t="shared" si="34"/>
        <v>17.5</v>
      </c>
      <c r="BL22" s="138">
        <f t="shared" si="35"/>
        <v>0</v>
      </c>
      <c r="BM22" s="138">
        <f t="shared" si="36"/>
        <v>0</v>
      </c>
      <c r="BN22" s="138">
        <f t="shared" si="37"/>
        <v>0</v>
      </c>
      <c r="BO22" s="124">
        <f t="shared" si="38"/>
        <v>24</v>
      </c>
    </row>
    <row r="23" spans="1:67" ht="12.75" customHeight="1">
      <c r="A23" t="s">
        <v>370</v>
      </c>
      <c r="B23" t="s">
        <v>141</v>
      </c>
      <c r="C23" t="s">
        <v>136</v>
      </c>
      <c r="D23" t="s">
        <v>136</v>
      </c>
      <c r="E23" t="s">
        <v>136</v>
      </c>
      <c r="F23" t="s">
        <v>141</v>
      </c>
      <c r="G23" t="s">
        <v>140</v>
      </c>
      <c r="H23" t="s">
        <v>136</v>
      </c>
      <c r="I23" t="s">
        <v>141</v>
      </c>
      <c r="J23" t="s">
        <v>141</v>
      </c>
      <c r="K23" t="s">
        <v>141</v>
      </c>
      <c r="L23" t="s">
        <v>136</v>
      </c>
      <c r="M23" t="s">
        <v>136</v>
      </c>
      <c r="N23" t="s">
        <v>136</v>
      </c>
      <c r="O23" t="s">
        <v>136</v>
      </c>
      <c r="P23" t="s">
        <v>136</v>
      </c>
      <c r="Q23" t="s">
        <v>140</v>
      </c>
      <c r="R23" t="s">
        <v>140</v>
      </c>
      <c r="S23" t="s">
        <v>136</v>
      </c>
      <c r="T23" t="s">
        <v>140</v>
      </c>
      <c r="U23" t="s">
        <v>133</v>
      </c>
      <c r="V23" t="s">
        <v>136</v>
      </c>
      <c r="W23" t="s">
        <v>136</v>
      </c>
      <c r="X23" t="s">
        <v>136</v>
      </c>
      <c r="Y23" t="s">
        <v>136</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24</v>
      </c>
      <c r="BC23" s="136" t="str">
        <f t="shared" si="26"/>
        <v>18/09/24</v>
      </c>
      <c r="BD23" s="138">
        <f t="shared" si="27"/>
        <v>13</v>
      </c>
      <c r="BE23" s="138">
        <f t="shared" si="28"/>
        <v>2.5</v>
      </c>
      <c r="BF23" s="138">
        <f t="shared" si="29"/>
        <v>0</v>
      </c>
      <c r="BG23" s="138">
        <f t="shared" si="30"/>
        <v>0</v>
      </c>
      <c r="BH23" s="138">
        <f t="shared" si="31"/>
        <v>3</v>
      </c>
      <c r="BI23" s="138">
        <f t="shared" si="32"/>
        <v>0</v>
      </c>
      <c r="BJ23" s="138">
        <f t="shared" si="33"/>
        <v>0</v>
      </c>
      <c r="BK23" s="138">
        <f t="shared" si="34"/>
        <v>5.5</v>
      </c>
      <c r="BL23" s="138">
        <f t="shared" si="35"/>
        <v>0</v>
      </c>
      <c r="BM23" s="138">
        <f t="shared" si="36"/>
        <v>0</v>
      </c>
      <c r="BN23" s="138">
        <f t="shared" si="37"/>
        <v>0</v>
      </c>
      <c r="BO23" s="124">
        <f t="shared" si="38"/>
        <v>24</v>
      </c>
    </row>
    <row r="24" spans="1:67" ht="12.75" customHeight="1">
      <c r="A24" t="s">
        <v>371</v>
      </c>
      <c r="B24" t="s">
        <v>141</v>
      </c>
      <c r="C24" t="s">
        <v>133</v>
      </c>
      <c r="D24" t="s">
        <v>136</v>
      </c>
      <c r="E24" t="s">
        <v>136</v>
      </c>
      <c r="F24" t="s">
        <v>141</v>
      </c>
      <c r="G24" t="s">
        <v>133</v>
      </c>
      <c r="H24" t="s">
        <v>136</v>
      </c>
      <c r="I24" t="s">
        <v>133</v>
      </c>
      <c r="J24" t="s">
        <v>133</v>
      </c>
      <c r="K24" t="s">
        <v>141</v>
      </c>
      <c r="L24" t="s">
        <v>133</v>
      </c>
      <c r="M24" t="s">
        <v>141</v>
      </c>
      <c r="N24" t="s">
        <v>349</v>
      </c>
      <c r="O24" t="s">
        <v>140</v>
      </c>
      <c r="P24" t="s">
        <v>140</v>
      </c>
      <c r="Q24" t="s">
        <v>141</v>
      </c>
      <c r="R24" t="s">
        <v>140</v>
      </c>
      <c r="S24" t="s">
        <v>140</v>
      </c>
      <c r="T24" t="s">
        <v>141</v>
      </c>
      <c r="U24" t="s">
        <v>141</v>
      </c>
      <c r="V24" t="s">
        <v>136</v>
      </c>
      <c r="W24" t="s">
        <v>136</v>
      </c>
      <c r="X24" t="s">
        <v>354</v>
      </c>
      <c r="Y24" t="s">
        <v>141</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2</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2</v>
      </c>
      <c r="AX24" s="120">
        <f t="shared" si="24"/>
        <v>1</v>
      </c>
      <c r="AY24" s="120">
        <f t="shared" si="25"/>
        <v>26</v>
      </c>
      <c r="BC24" s="136" t="str">
        <f t="shared" si="26"/>
        <v>19/09/24</v>
      </c>
      <c r="BD24" s="138">
        <f t="shared" si="27"/>
        <v>14</v>
      </c>
      <c r="BE24" s="138">
        <f t="shared" si="28"/>
        <v>1</v>
      </c>
      <c r="BF24" s="138">
        <f t="shared" si="29"/>
        <v>0</v>
      </c>
      <c r="BG24" s="138">
        <f t="shared" si="30"/>
        <v>0</v>
      </c>
      <c r="BH24" s="138">
        <f t="shared" si="31"/>
        <v>5</v>
      </c>
      <c r="BI24" s="138">
        <f t="shared" si="32"/>
        <v>0</v>
      </c>
      <c r="BJ24" s="138">
        <f t="shared" si="33"/>
        <v>0</v>
      </c>
      <c r="BK24" s="138">
        <f t="shared" si="34"/>
        <v>4</v>
      </c>
      <c r="BL24" s="138">
        <f t="shared" si="35"/>
        <v>0</v>
      </c>
      <c r="BM24" s="138">
        <f t="shared" si="36"/>
        <v>0</v>
      </c>
      <c r="BN24" s="138">
        <f t="shared" si="37"/>
        <v>0</v>
      </c>
      <c r="BO24" s="124">
        <f t="shared" si="38"/>
        <v>24</v>
      </c>
    </row>
    <row r="25" spans="1:67" ht="12.75" customHeight="1">
      <c r="A25" t="s">
        <v>372</v>
      </c>
      <c r="B25" t="s">
        <v>136</v>
      </c>
      <c r="C25" t="s">
        <v>136</v>
      </c>
      <c r="D25" t="s">
        <v>136</v>
      </c>
      <c r="E25" t="s">
        <v>136</v>
      </c>
      <c r="F25" t="s">
        <v>141</v>
      </c>
      <c r="G25" t="s">
        <v>136</v>
      </c>
      <c r="H25" t="s">
        <v>133</v>
      </c>
      <c r="I25" t="s">
        <v>136</v>
      </c>
      <c r="J25" t="s">
        <v>141</v>
      </c>
      <c r="K25" t="s">
        <v>136</v>
      </c>
      <c r="L25" t="s">
        <v>136</v>
      </c>
      <c r="M25" t="s">
        <v>140</v>
      </c>
      <c r="N25" t="s">
        <v>136</v>
      </c>
      <c r="O25" t="s">
        <v>140</v>
      </c>
      <c r="P25" t="s">
        <v>136</v>
      </c>
      <c r="Q25" t="s">
        <v>140</v>
      </c>
      <c r="R25" t="s">
        <v>140</v>
      </c>
      <c r="S25" t="s">
        <v>140</v>
      </c>
      <c r="T25" t="s">
        <v>140</v>
      </c>
      <c r="U25" t="s">
        <v>136</v>
      </c>
      <c r="V25" t="s">
        <v>136</v>
      </c>
      <c r="W25" t="s">
        <v>136</v>
      </c>
      <c r="X25" t="s">
        <v>141</v>
      </c>
      <c r="Y25" t="s">
        <v>133</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24</v>
      </c>
      <c r="BC25" s="136" t="str">
        <f t="shared" si="26"/>
        <v>20/09/24</v>
      </c>
      <c r="BD25" s="138">
        <f t="shared" si="27"/>
        <v>5.5</v>
      </c>
      <c r="BE25" s="138">
        <f t="shared" si="28"/>
        <v>5.5</v>
      </c>
      <c r="BF25" s="138">
        <f t="shared" si="29"/>
        <v>0</v>
      </c>
      <c r="BG25" s="138">
        <f t="shared" si="30"/>
        <v>0</v>
      </c>
      <c r="BH25" s="138">
        <f t="shared" si="31"/>
        <v>8</v>
      </c>
      <c r="BI25" s="138">
        <f t="shared" si="32"/>
        <v>0</v>
      </c>
      <c r="BJ25" s="138">
        <f t="shared" si="33"/>
        <v>0</v>
      </c>
      <c r="BK25" s="138">
        <f t="shared" si="34"/>
        <v>5</v>
      </c>
      <c r="BL25" s="138">
        <f t="shared" si="35"/>
        <v>0</v>
      </c>
      <c r="BM25" s="138">
        <f t="shared" si="36"/>
        <v>0</v>
      </c>
      <c r="BN25" s="138">
        <f t="shared" si="37"/>
        <v>0</v>
      </c>
      <c r="BO25" s="124">
        <f t="shared" si="38"/>
        <v>24</v>
      </c>
    </row>
    <row r="26" spans="1:67" ht="12.75" customHeight="1">
      <c r="A26" t="s">
        <v>373</v>
      </c>
      <c r="B26" t="s">
        <v>141</v>
      </c>
      <c r="C26" t="s">
        <v>136</v>
      </c>
      <c r="D26" t="s">
        <v>136</v>
      </c>
      <c r="E26" t="s">
        <v>136</v>
      </c>
      <c r="F26" t="s">
        <v>136</v>
      </c>
      <c r="G26" t="s">
        <v>133</v>
      </c>
      <c r="H26" t="s">
        <v>136</v>
      </c>
      <c r="I26" t="s">
        <v>133</v>
      </c>
      <c r="J26" t="s">
        <v>136</v>
      </c>
      <c r="K26" t="s">
        <v>136</v>
      </c>
      <c r="L26" t="s">
        <v>140</v>
      </c>
      <c r="M26" t="s">
        <v>140</v>
      </c>
      <c r="N26" t="s">
        <v>140</v>
      </c>
      <c r="O26" t="s">
        <v>140</v>
      </c>
      <c r="P26" t="s">
        <v>349</v>
      </c>
      <c r="Q26" t="s">
        <v>349</v>
      </c>
      <c r="R26" t="s">
        <v>349</v>
      </c>
      <c r="S26" t="s">
        <v>140</v>
      </c>
      <c r="T26" t="s">
        <v>133</v>
      </c>
      <c r="U26" t="s">
        <v>136</v>
      </c>
      <c r="V26" t="s">
        <v>136</v>
      </c>
      <c r="W26" t="s">
        <v>136</v>
      </c>
      <c r="X26" t="s">
        <v>133</v>
      </c>
      <c r="Y26" t="s">
        <v>141</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2</v>
      </c>
      <c r="AP26" s="120">
        <f t="shared" si="16"/>
        <v>2</v>
      </c>
      <c r="AQ26" s="120">
        <f t="shared" si="17"/>
        <v>2</v>
      </c>
      <c r="AR26" s="120">
        <f t="shared" si="18"/>
        <v>1</v>
      </c>
      <c r="AS26" s="120">
        <f t="shared" si="19"/>
        <v>1</v>
      </c>
      <c r="AT26" s="120">
        <f t="shared" si="20"/>
        <v>1</v>
      </c>
      <c r="AU26" s="120">
        <f t="shared" si="21"/>
        <v>1</v>
      </c>
      <c r="AV26" s="120">
        <f t="shared" si="22"/>
        <v>1</v>
      </c>
      <c r="AW26" s="120">
        <f t="shared" si="23"/>
        <v>1</v>
      </c>
      <c r="AX26" s="120">
        <f t="shared" si="24"/>
        <v>1</v>
      </c>
      <c r="AY26" s="120">
        <f t="shared" si="25"/>
        <v>27</v>
      </c>
      <c r="BC26" s="136" t="str">
        <f t="shared" si="26"/>
        <v>21/09/24</v>
      </c>
      <c r="BD26" s="138">
        <f t="shared" si="27"/>
        <v>13</v>
      </c>
      <c r="BE26" s="138">
        <f t="shared" si="28"/>
        <v>2</v>
      </c>
      <c r="BF26" s="138">
        <f t="shared" si="29"/>
        <v>0</v>
      </c>
      <c r="BG26" s="138">
        <f t="shared" si="30"/>
        <v>0</v>
      </c>
      <c r="BH26" s="138">
        <f t="shared" si="31"/>
        <v>3</v>
      </c>
      <c r="BI26" s="138">
        <f t="shared" si="32"/>
        <v>0</v>
      </c>
      <c r="BJ26" s="138">
        <f t="shared" si="33"/>
        <v>0</v>
      </c>
      <c r="BK26" s="138">
        <f t="shared" si="34"/>
        <v>6</v>
      </c>
      <c r="BL26" s="138">
        <f t="shared" si="35"/>
        <v>0</v>
      </c>
      <c r="BM26" s="138">
        <f t="shared" si="36"/>
        <v>0</v>
      </c>
      <c r="BN26" s="138">
        <f t="shared" si="37"/>
        <v>0</v>
      </c>
      <c r="BO26" s="124">
        <f t="shared" si="38"/>
        <v>24</v>
      </c>
    </row>
    <row r="27" spans="1:67" ht="12.75" customHeight="1">
      <c r="A27" t="s">
        <v>374</v>
      </c>
      <c r="B27" t="s">
        <v>136</v>
      </c>
      <c r="C27" t="s">
        <v>136</v>
      </c>
      <c r="D27" t="s">
        <v>136</v>
      </c>
      <c r="E27" t="s">
        <v>136</v>
      </c>
      <c r="F27" t="s">
        <v>136</v>
      </c>
      <c r="G27" t="s">
        <v>136</v>
      </c>
      <c r="H27" t="s">
        <v>136</v>
      </c>
      <c r="I27" t="s">
        <v>141</v>
      </c>
      <c r="J27" t="s">
        <v>136</v>
      </c>
      <c r="K27" t="s">
        <v>141</v>
      </c>
      <c r="L27" t="s">
        <v>140</v>
      </c>
      <c r="M27" t="s">
        <v>140</v>
      </c>
      <c r="N27" t="s">
        <v>140</v>
      </c>
      <c r="O27" t="s">
        <v>140</v>
      </c>
      <c r="P27" t="s">
        <v>140</v>
      </c>
      <c r="Q27" t="s">
        <v>140</v>
      </c>
      <c r="R27" t="s">
        <v>140</v>
      </c>
      <c r="S27" t="s">
        <v>136</v>
      </c>
      <c r="T27" t="s">
        <v>136</v>
      </c>
      <c r="U27" t="s">
        <v>136</v>
      </c>
      <c r="V27" t="s">
        <v>136</v>
      </c>
      <c r="W27" t="s">
        <v>136</v>
      </c>
      <c r="X27" t="s">
        <v>133</v>
      </c>
      <c r="Y27" t="s">
        <v>133</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24</v>
      </c>
      <c r="BC27" s="136" t="str">
        <f t="shared" si="26"/>
        <v>22/09/24</v>
      </c>
      <c r="BD27" s="138">
        <f t="shared" si="27"/>
        <v>11.5</v>
      </c>
      <c r="BE27" s="138">
        <f t="shared" si="28"/>
        <v>4</v>
      </c>
      <c r="BF27" s="138">
        <f t="shared" si="29"/>
        <v>0</v>
      </c>
      <c r="BG27" s="138">
        <f t="shared" si="30"/>
        <v>0</v>
      </c>
      <c r="BH27" s="138">
        <f t="shared" si="31"/>
        <v>2</v>
      </c>
      <c r="BI27" s="138">
        <f t="shared" si="32"/>
        <v>0</v>
      </c>
      <c r="BJ27" s="138">
        <f t="shared" si="33"/>
        <v>0</v>
      </c>
      <c r="BK27" s="138">
        <f t="shared" si="34"/>
        <v>6.5</v>
      </c>
      <c r="BL27" s="138">
        <f t="shared" si="35"/>
        <v>0</v>
      </c>
      <c r="BM27" s="138">
        <f t="shared" si="36"/>
        <v>0</v>
      </c>
      <c r="BN27" s="138">
        <f t="shared" si="37"/>
        <v>0</v>
      </c>
      <c r="BO27" s="124">
        <f t="shared" si="38"/>
        <v>24</v>
      </c>
    </row>
    <row r="28" spans="1:67" ht="12.75" customHeight="1">
      <c r="A28" t="s">
        <v>375</v>
      </c>
      <c r="B28" t="s">
        <v>136</v>
      </c>
      <c r="C28" t="s">
        <v>136</v>
      </c>
      <c r="D28" t="s">
        <v>133</v>
      </c>
      <c r="E28" t="s">
        <v>347</v>
      </c>
      <c r="F28" t="s">
        <v>347</v>
      </c>
      <c r="G28" t="s">
        <v>347</v>
      </c>
      <c r="H28" t="s">
        <v>136</v>
      </c>
      <c r="I28" t="s">
        <v>136</v>
      </c>
      <c r="J28" t="s">
        <v>136</v>
      </c>
      <c r="K28" t="s">
        <v>136</v>
      </c>
      <c r="L28" t="s">
        <v>133</v>
      </c>
      <c r="M28" t="s">
        <v>140</v>
      </c>
      <c r="N28" t="s">
        <v>136</v>
      </c>
      <c r="O28" t="s">
        <v>140</v>
      </c>
      <c r="P28" t="s">
        <v>140</v>
      </c>
      <c r="Q28" t="s">
        <v>140</v>
      </c>
      <c r="R28" t="s">
        <v>136</v>
      </c>
      <c r="S28" t="s">
        <v>136</v>
      </c>
      <c r="T28" t="s">
        <v>140</v>
      </c>
      <c r="U28" t="s">
        <v>136</v>
      </c>
      <c r="V28" t="s">
        <v>140</v>
      </c>
      <c r="W28" t="s">
        <v>136</v>
      </c>
      <c r="X28" t="s">
        <v>133</v>
      </c>
      <c r="Y28" t="s">
        <v>140</v>
      </c>
      <c r="Z28" s="20" t="s">
        <v>186</v>
      </c>
      <c r="AA28" s="120">
        <f t="shared" si="1"/>
        <v>1</v>
      </c>
      <c r="AB28" s="120">
        <f t="shared" si="2"/>
        <v>1</v>
      </c>
      <c r="AC28" s="120">
        <f t="shared" si="3"/>
        <v>1</v>
      </c>
      <c r="AD28" s="120">
        <f t="shared" si="4"/>
        <v>2</v>
      </c>
      <c r="AE28" s="120">
        <f t="shared" si="5"/>
        <v>2</v>
      </c>
      <c r="AF28" s="120">
        <f t="shared" si="6"/>
        <v>2</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27</v>
      </c>
      <c r="BC28" s="136" t="str">
        <f t="shared" si="26"/>
        <v>23/09/24</v>
      </c>
      <c r="BD28" s="138">
        <f t="shared" si="27"/>
        <v>13</v>
      </c>
      <c r="BE28" s="138">
        <f t="shared" si="28"/>
        <v>2</v>
      </c>
      <c r="BF28" s="138">
        <f t="shared" si="29"/>
        <v>0</v>
      </c>
      <c r="BG28" s="138">
        <f t="shared" si="30"/>
        <v>0</v>
      </c>
      <c r="BH28" s="138">
        <f t="shared" si="31"/>
        <v>2</v>
      </c>
      <c r="BI28" s="138">
        <f t="shared" si="32"/>
        <v>0</v>
      </c>
      <c r="BJ28" s="138">
        <f t="shared" si="33"/>
        <v>0</v>
      </c>
      <c r="BK28" s="138">
        <f t="shared" si="34"/>
        <v>7</v>
      </c>
      <c r="BL28" s="138">
        <f t="shared" si="35"/>
        <v>0</v>
      </c>
      <c r="BM28" s="138">
        <f t="shared" si="36"/>
        <v>0</v>
      </c>
      <c r="BN28" s="138">
        <f t="shared" si="37"/>
        <v>0</v>
      </c>
      <c r="BO28" s="124">
        <f t="shared" si="38"/>
        <v>24</v>
      </c>
    </row>
    <row r="29" spans="1:67" ht="12.75" customHeight="1">
      <c r="A29" t="s">
        <v>376</v>
      </c>
      <c r="B29" t="s">
        <v>136</v>
      </c>
      <c r="C29" t="s">
        <v>136</v>
      </c>
      <c r="D29" t="s">
        <v>136</v>
      </c>
      <c r="E29" t="s">
        <v>136</v>
      </c>
      <c r="F29" t="s">
        <v>137</v>
      </c>
      <c r="G29" t="s">
        <v>137</v>
      </c>
      <c r="H29" t="s">
        <v>136</v>
      </c>
      <c r="I29" t="s">
        <v>136</v>
      </c>
      <c r="J29" t="s">
        <v>140</v>
      </c>
      <c r="K29" t="s">
        <v>349</v>
      </c>
      <c r="L29" t="s">
        <v>136</v>
      </c>
      <c r="M29" t="s">
        <v>140</v>
      </c>
      <c r="N29" t="s">
        <v>140</v>
      </c>
      <c r="O29" t="s">
        <v>140</v>
      </c>
      <c r="P29" t="s">
        <v>136</v>
      </c>
      <c r="Q29" t="s">
        <v>140</v>
      </c>
      <c r="R29" t="s">
        <v>140</v>
      </c>
      <c r="S29" t="s">
        <v>136</v>
      </c>
      <c r="T29" t="s">
        <v>140</v>
      </c>
      <c r="U29" t="s">
        <v>136</v>
      </c>
      <c r="V29" t="s">
        <v>136</v>
      </c>
      <c r="W29" t="s">
        <v>136</v>
      </c>
      <c r="X29" t="s">
        <v>136</v>
      </c>
      <c r="Y29" t="s">
        <v>140</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2</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24/09/24</v>
      </c>
      <c r="BD29" s="138">
        <f t="shared" si="27"/>
        <v>12.5</v>
      </c>
      <c r="BE29" s="138">
        <f t="shared" si="28"/>
        <v>4.5</v>
      </c>
      <c r="BF29" s="138">
        <f t="shared" si="29"/>
        <v>0</v>
      </c>
      <c r="BG29" s="138">
        <f t="shared" si="30"/>
        <v>0</v>
      </c>
      <c r="BH29" s="138">
        <f t="shared" si="31"/>
        <v>0</v>
      </c>
      <c r="BI29" s="138">
        <f t="shared" si="32"/>
        <v>0</v>
      </c>
      <c r="BJ29" s="138">
        <f t="shared" si="33"/>
        <v>0</v>
      </c>
      <c r="BK29" s="138">
        <f t="shared" si="34"/>
        <v>7</v>
      </c>
      <c r="BL29" s="138">
        <f t="shared" si="35"/>
        <v>0</v>
      </c>
      <c r="BM29" s="138">
        <f t="shared" si="36"/>
        <v>0</v>
      </c>
      <c r="BN29" s="138">
        <f t="shared" si="37"/>
        <v>0</v>
      </c>
      <c r="BO29" s="124">
        <f t="shared" si="38"/>
        <v>24</v>
      </c>
    </row>
    <row r="30" spans="1:67" ht="12.75" customHeight="1">
      <c r="A30" t="s">
        <v>377</v>
      </c>
      <c r="B30" t="s">
        <v>140</v>
      </c>
      <c r="C30" t="s">
        <v>140</v>
      </c>
      <c r="D30" t="s">
        <v>349</v>
      </c>
      <c r="E30" t="s">
        <v>140</v>
      </c>
      <c r="F30" t="s">
        <v>140</v>
      </c>
      <c r="G30" t="s">
        <v>140</v>
      </c>
      <c r="H30" t="s">
        <v>140</v>
      </c>
      <c r="I30" t="s">
        <v>136</v>
      </c>
      <c r="J30" t="s">
        <v>349</v>
      </c>
      <c r="K30" t="s">
        <v>140</v>
      </c>
      <c r="L30" t="s">
        <v>140</v>
      </c>
      <c r="M30" t="s">
        <v>140</v>
      </c>
      <c r="N30" t="s">
        <v>349</v>
      </c>
      <c r="O30" t="s">
        <v>349</v>
      </c>
      <c r="P30" t="s">
        <v>349</v>
      </c>
      <c r="Q30" t="s">
        <v>349</v>
      </c>
      <c r="R30" t="s">
        <v>349</v>
      </c>
      <c r="S30" t="s">
        <v>140</v>
      </c>
      <c r="T30" t="s">
        <v>136</v>
      </c>
      <c r="U30" t="s">
        <v>140</v>
      </c>
      <c r="V30" t="s">
        <v>349</v>
      </c>
      <c r="W30" t="s">
        <v>136</v>
      </c>
      <c r="X30" t="s">
        <v>140</v>
      </c>
      <c r="Y30" t="s">
        <v>133</v>
      </c>
      <c r="Z30" s="20" t="s">
        <v>186</v>
      </c>
      <c r="AA30" s="120">
        <f t="shared" si="1"/>
        <v>1</v>
      </c>
      <c r="AB30" s="120">
        <f t="shared" si="2"/>
        <v>1</v>
      </c>
      <c r="AC30" s="120">
        <f t="shared" si="3"/>
        <v>2</v>
      </c>
      <c r="AD30" s="120">
        <f t="shared" si="4"/>
        <v>1</v>
      </c>
      <c r="AE30" s="120">
        <f t="shared" si="5"/>
        <v>1</v>
      </c>
      <c r="AF30" s="120">
        <f t="shared" si="6"/>
        <v>1</v>
      </c>
      <c r="AG30" s="120">
        <f t="shared" si="7"/>
        <v>1</v>
      </c>
      <c r="AH30" s="120">
        <f t="shared" si="8"/>
        <v>1</v>
      </c>
      <c r="AI30" s="120">
        <f t="shared" si="9"/>
        <v>2</v>
      </c>
      <c r="AJ30" s="120">
        <f t="shared" si="10"/>
        <v>1</v>
      </c>
      <c r="AK30" s="120">
        <f t="shared" si="11"/>
        <v>1</v>
      </c>
      <c r="AL30" s="120">
        <f t="shared" si="12"/>
        <v>1</v>
      </c>
      <c r="AM30" s="120">
        <f t="shared" si="13"/>
        <v>2</v>
      </c>
      <c r="AN30" s="120">
        <f t="shared" si="14"/>
        <v>2</v>
      </c>
      <c r="AO30" s="120">
        <f t="shared" si="15"/>
        <v>2</v>
      </c>
      <c r="AP30" s="120">
        <f t="shared" si="16"/>
        <v>2</v>
      </c>
      <c r="AQ30" s="120">
        <f t="shared" si="17"/>
        <v>2</v>
      </c>
      <c r="AR30" s="120">
        <f t="shared" si="18"/>
        <v>1</v>
      </c>
      <c r="AS30" s="120">
        <f t="shared" si="19"/>
        <v>1</v>
      </c>
      <c r="AT30" s="120">
        <f t="shared" si="20"/>
        <v>1</v>
      </c>
      <c r="AU30" s="120">
        <f t="shared" si="21"/>
        <v>2</v>
      </c>
      <c r="AV30" s="120">
        <f t="shared" si="22"/>
        <v>1</v>
      </c>
      <c r="AW30" s="120">
        <f t="shared" si="23"/>
        <v>1</v>
      </c>
      <c r="AX30" s="120">
        <f t="shared" si="24"/>
        <v>1</v>
      </c>
      <c r="AY30" s="120">
        <f t="shared" si="25"/>
        <v>32</v>
      </c>
      <c r="BC30" s="136" t="str">
        <f t="shared" si="26"/>
        <v>25/09/24</v>
      </c>
      <c r="BD30" s="138">
        <f t="shared" si="27"/>
        <v>13.5</v>
      </c>
      <c r="BE30" s="138">
        <f t="shared" si="28"/>
        <v>0</v>
      </c>
      <c r="BF30" s="138">
        <f t="shared" si="29"/>
        <v>0</v>
      </c>
      <c r="BG30" s="138">
        <f t="shared" si="30"/>
        <v>0</v>
      </c>
      <c r="BH30" s="138">
        <f t="shared" si="31"/>
        <v>0</v>
      </c>
      <c r="BI30" s="138">
        <f t="shared" si="32"/>
        <v>0</v>
      </c>
      <c r="BJ30" s="138">
        <f t="shared" si="33"/>
        <v>2</v>
      </c>
      <c r="BK30" s="138">
        <f>AY293</f>
        <v>8.5</v>
      </c>
      <c r="BL30" s="138">
        <f t="shared" si="35"/>
        <v>0</v>
      </c>
      <c r="BM30" s="138">
        <f t="shared" si="36"/>
        <v>0</v>
      </c>
      <c r="BN30" s="138">
        <f t="shared" si="37"/>
        <v>0</v>
      </c>
      <c r="BO30" s="124">
        <f t="shared" si="38"/>
        <v>24</v>
      </c>
    </row>
    <row r="31" spans="1:67" ht="12.75" customHeight="1">
      <c r="A31" t="s">
        <v>378</v>
      </c>
      <c r="B31" t="s">
        <v>349</v>
      </c>
      <c r="C31" t="s">
        <v>140</v>
      </c>
      <c r="D31" t="s">
        <v>140</v>
      </c>
      <c r="E31" t="s">
        <v>140</v>
      </c>
      <c r="F31" t="s">
        <v>140</v>
      </c>
      <c r="G31" t="s">
        <v>140</v>
      </c>
      <c r="H31" t="s">
        <v>140</v>
      </c>
      <c r="I31" t="s">
        <v>136</v>
      </c>
      <c r="J31" t="s">
        <v>140</v>
      </c>
      <c r="K31" t="s">
        <v>140</v>
      </c>
      <c r="L31" t="s">
        <v>140</v>
      </c>
      <c r="M31" t="s">
        <v>140</v>
      </c>
      <c r="N31" t="s">
        <v>140</v>
      </c>
      <c r="O31" t="s">
        <v>140</v>
      </c>
      <c r="P31" t="s">
        <v>140</v>
      </c>
      <c r="Q31" t="s">
        <v>140</v>
      </c>
      <c r="R31" t="s">
        <v>140</v>
      </c>
      <c r="S31" t="s">
        <v>140</v>
      </c>
      <c r="T31" t="s">
        <v>136</v>
      </c>
      <c r="U31" t="s">
        <v>136</v>
      </c>
      <c r="V31" t="s">
        <v>140</v>
      </c>
      <c r="W31" t="s">
        <v>136</v>
      </c>
      <c r="X31" t="s">
        <v>140</v>
      </c>
      <c r="Y31" t="s">
        <v>136</v>
      </c>
      <c r="Z31" s="20" t="s">
        <v>186</v>
      </c>
      <c r="AA31" s="120">
        <f t="shared" si="1"/>
        <v>2</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25</v>
      </c>
      <c r="BC31" s="136" t="str">
        <f t="shared" si="26"/>
        <v>26/09/24</v>
      </c>
      <c r="BD31" s="138">
        <f t="shared" si="27"/>
        <v>7</v>
      </c>
      <c r="BE31" s="138">
        <f t="shared" si="28"/>
        <v>1</v>
      </c>
      <c r="BF31" s="138">
        <f t="shared" si="29"/>
        <v>0</v>
      </c>
      <c r="BG31" s="138">
        <f t="shared" si="30"/>
        <v>0</v>
      </c>
      <c r="BH31" s="138">
        <f t="shared" si="31"/>
        <v>0</v>
      </c>
      <c r="BI31" s="138">
        <f t="shared" si="32"/>
        <v>0</v>
      </c>
      <c r="BJ31" s="138">
        <f t="shared" si="33"/>
        <v>0</v>
      </c>
      <c r="BK31" s="138">
        <f t="shared" si="34"/>
        <v>16</v>
      </c>
      <c r="BL31" s="138">
        <f t="shared" si="35"/>
        <v>0</v>
      </c>
      <c r="BM31" s="138">
        <f t="shared" si="36"/>
        <v>0</v>
      </c>
      <c r="BN31" s="138">
        <f t="shared" si="37"/>
        <v>0</v>
      </c>
      <c r="BO31" s="124">
        <f t="shared" si="38"/>
        <v>24</v>
      </c>
    </row>
    <row r="32" spans="1:67" ht="12.75" customHeight="1">
      <c r="A32" t="s">
        <v>379</v>
      </c>
      <c r="B32" t="s">
        <v>133</v>
      </c>
      <c r="C32" t="s">
        <v>133</v>
      </c>
      <c r="D32" t="s">
        <v>140</v>
      </c>
      <c r="E32" t="s">
        <v>136</v>
      </c>
      <c r="F32" t="s">
        <v>140</v>
      </c>
      <c r="G32" t="s">
        <v>140</v>
      </c>
      <c r="H32" t="s">
        <v>140</v>
      </c>
      <c r="I32" t="s">
        <v>140</v>
      </c>
      <c r="J32" t="s">
        <v>140</v>
      </c>
      <c r="K32" t="s">
        <v>140</v>
      </c>
      <c r="L32" t="s">
        <v>140</v>
      </c>
      <c r="M32" t="s">
        <v>349</v>
      </c>
      <c r="N32" t="s">
        <v>140</v>
      </c>
      <c r="O32" t="s">
        <v>140</v>
      </c>
      <c r="P32" t="s">
        <v>140</v>
      </c>
      <c r="Q32" t="s">
        <v>140</v>
      </c>
      <c r="R32" t="s">
        <v>140</v>
      </c>
      <c r="S32" t="s">
        <v>140</v>
      </c>
      <c r="T32" t="s">
        <v>140</v>
      </c>
      <c r="U32" t="s">
        <v>140</v>
      </c>
      <c r="V32" t="s">
        <v>136</v>
      </c>
      <c r="W32" t="s">
        <v>136</v>
      </c>
      <c r="X32" t="s">
        <v>136</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2</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25</v>
      </c>
      <c r="BC32" s="136" t="str">
        <f t="shared" si="26"/>
        <v>27/09/24</v>
      </c>
      <c r="BD32" s="138">
        <f t="shared" si="27"/>
        <v>5.5</v>
      </c>
      <c r="BE32" s="138">
        <f t="shared" si="28"/>
        <v>0</v>
      </c>
      <c r="BF32" s="138">
        <f t="shared" si="29"/>
        <v>0</v>
      </c>
      <c r="BG32" s="138">
        <f t="shared" si="30"/>
        <v>0</v>
      </c>
      <c r="BH32" s="138">
        <f t="shared" si="31"/>
        <v>0</v>
      </c>
      <c r="BI32" s="138">
        <f t="shared" si="32"/>
        <v>0</v>
      </c>
      <c r="BJ32" s="138">
        <f t="shared" si="33"/>
        <v>0</v>
      </c>
      <c r="BK32" s="138">
        <f t="shared" si="34"/>
        <v>18.5</v>
      </c>
      <c r="BL32" s="138">
        <f t="shared" si="35"/>
        <v>0</v>
      </c>
      <c r="BM32" s="138">
        <f t="shared" si="36"/>
        <v>0</v>
      </c>
      <c r="BN32" s="138">
        <f t="shared" si="37"/>
        <v>0</v>
      </c>
      <c r="BO32" s="124">
        <f t="shared" si="38"/>
        <v>24</v>
      </c>
    </row>
    <row r="33" spans="1:67" ht="12.75" customHeight="1">
      <c r="A33" t="s">
        <v>380</v>
      </c>
      <c r="B33" t="s">
        <v>136</v>
      </c>
      <c r="C33" t="s">
        <v>136</v>
      </c>
      <c r="D33" t="s">
        <v>133</v>
      </c>
      <c r="E33" t="s">
        <v>136</v>
      </c>
      <c r="F33" t="s">
        <v>140</v>
      </c>
      <c r="G33" t="s">
        <v>136</v>
      </c>
      <c r="H33" t="s">
        <v>140</v>
      </c>
      <c r="I33" t="s">
        <v>136</v>
      </c>
      <c r="J33" t="s">
        <v>136</v>
      </c>
      <c r="K33" t="s">
        <v>136</v>
      </c>
      <c r="L33" t="s">
        <v>140</v>
      </c>
      <c r="M33" t="s">
        <v>140</v>
      </c>
      <c r="N33" t="s">
        <v>140</v>
      </c>
      <c r="O33" t="s">
        <v>140</v>
      </c>
      <c r="P33" t="s">
        <v>140</v>
      </c>
      <c r="Q33" t="s">
        <v>140</v>
      </c>
      <c r="R33" t="s">
        <v>140</v>
      </c>
      <c r="S33" t="s">
        <v>140</v>
      </c>
      <c r="T33" t="s">
        <v>136</v>
      </c>
      <c r="U33" t="s">
        <v>133</v>
      </c>
      <c r="V33" t="s">
        <v>140</v>
      </c>
      <c r="W33" t="s">
        <v>136</v>
      </c>
      <c r="X33" t="s">
        <v>136</v>
      </c>
      <c r="Y33" t="s">
        <v>136</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28/09/24</v>
      </c>
      <c r="BD33" s="138">
        <f t="shared" si="27"/>
        <v>5.5</v>
      </c>
      <c r="BE33" s="138">
        <f t="shared" si="28"/>
        <v>2</v>
      </c>
      <c r="BF33" s="138">
        <f t="shared" si="29"/>
        <v>0</v>
      </c>
      <c r="BG33" s="138">
        <f t="shared" si="30"/>
        <v>0</v>
      </c>
      <c r="BH33" s="138">
        <f t="shared" si="31"/>
        <v>0</v>
      </c>
      <c r="BI33" s="138">
        <f t="shared" si="32"/>
        <v>0</v>
      </c>
      <c r="BJ33" s="138">
        <f t="shared" si="33"/>
        <v>0</v>
      </c>
      <c r="BK33" s="138">
        <f t="shared" si="34"/>
        <v>16.5</v>
      </c>
      <c r="BL33" s="138">
        <f t="shared" si="35"/>
        <v>0</v>
      </c>
      <c r="BM33" s="138">
        <f t="shared" si="36"/>
        <v>0</v>
      </c>
      <c r="BN33" s="138">
        <f t="shared" si="37"/>
        <v>0</v>
      </c>
      <c r="BO33" s="124">
        <f t="shared" si="38"/>
        <v>24</v>
      </c>
    </row>
    <row r="34" spans="1:67" ht="12.75" customHeight="1">
      <c r="A34" t="s">
        <v>381</v>
      </c>
      <c r="B34" t="s">
        <v>136</v>
      </c>
      <c r="C34" t="s">
        <v>136</v>
      </c>
      <c r="D34" t="s">
        <v>136</v>
      </c>
      <c r="E34" t="s">
        <v>140</v>
      </c>
      <c r="F34" t="s">
        <v>137</v>
      </c>
      <c r="G34" t="s">
        <v>347</v>
      </c>
      <c r="H34" t="s">
        <v>136</v>
      </c>
      <c r="I34" t="s">
        <v>136</v>
      </c>
      <c r="J34" t="s">
        <v>136</v>
      </c>
      <c r="K34" t="s">
        <v>136</v>
      </c>
      <c r="L34" t="s">
        <v>140</v>
      </c>
      <c r="M34" t="s">
        <v>140</v>
      </c>
      <c r="N34" t="s">
        <v>140</v>
      </c>
      <c r="O34" t="s">
        <v>140</v>
      </c>
      <c r="P34" t="s">
        <v>140</v>
      </c>
      <c r="Q34" t="s">
        <v>140</v>
      </c>
      <c r="R34" t="s">
        <v>140</v>
      </c>
      <c r="S34" t="s">
        <v>136</v>
      </c>
      <c r="T34" t="s">
        <v>133</v>
      </c>
      <c r="U34" t="s">
        <v>141</v>
      </c>
      <c r="V34" t="s">
        <v>141</v>
      </c>
      <c r="W34" t="s">
        <v>136</v>
      </c>
      <c r="X34" t="s">
        <v>140</v>
      </c>
      <c r="Y34" t="s">
        <v>136</v>
      </c>
      <c r="AA34" s="120">
        <f t="shared" si="1"/>
        <v>1</v>
      </c>
      <c r="AB34" s="120">
        <f t="shared" si="2"/>
        <v>1</v>
      </c>
      <c r="AC34" s="120">
        <f t="shared" si="3"/>
        <v>1</v>
      </c>
      <c r="AD34" s="120">
        <f t="shared" si="4"/>
        <v>1</v>
      </c>
      <c r="AE34" s="120">
        <f t="shared" si="5"/>
        <v>1</v>
      </c>
      <c r="AF34" s="120">
        <f t="shared" si="6"/>
        <v>2</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25</v>
      </c>
      <c r="BC34" s="136" t="str">
        <f t="shared" si="26"/>
        <v>29/09/24</v>
      </c>
      <c r="BD34" s="138">
        <f t="shared" si="27"/>
        <v>11</v>
      </c>
      <c r="BE34" s="138">
        <f t="shared" si="28"/>
        <v>2</v>
      </c>
      <c r="BF34" s="138">
        <f t="shared" si="29"/>
        <v>0</v>
      </c>
      <c r="BG34" s="138">
        <f t="shared" si="30"/>
        <v>0</v>
      </c>
      <c r="BH34" s="138">
        <f t="shared" si="31"/>
        <v>0</v>
      </c>
      <c r="BI34" s="138">
        <f t="shared" si="32"/>
        <v>0</v>
      </c>
      <c r="BJ34" s="138">
        <f t="shared" si="33"/>
        <v>0</v>
      </c>
      <c r="BK34" s="138">
        <f t="shared" si="34"/>
        <v>11</v>
      </c>
      <c r="BL34" s="138">
        <f t="shared" si="35"/>
        <v>0</v>
      </c>
      <c r="BM34" s="138">
        <f t="shared" si="36"/>
        <v>0</v>
      </c>
      <c r="BN34" s="138">
        <f t="shared" si="37"/>
        <v>0</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30/09/24</v>
      </c>
      <c r="BD35" s="138">
        <f>AY166</f>
        <v>10.5</v>
      </c>
      <c r="BE35" s="138">
        <f t="shared" si="28"/>
        <v>1.5</v>
      </c>
      <c r="BF35" s="138">
        <f t="shared" si="29"/>
        <v>0</v>
      </c>
      <c r="BG35" s="138">
        <f t="shared" si="30"/>
        <v>0</v>
      </c>
      <c r="BH35" s="138">
        <f t="shared" si="31"/>
        <v>2</v>
      </c>
      <c r="BI35" s="138">
        <f t="shared" si="32"/>
        <v>0</v>
      </c>
      <c r="BJ35" s="138">
        <f t="shared" si="33"/>
        <v>1</v>
      </c>
      <c r="BK35" s="138">
        <f t="shared" si="34"/>
        <v>9</v>
      </c>
      <c r="BL35" s="138">
        <f t="shared" si="35"/>
        <v>0</v>
      </c>
      <c r="BM35" s="138">
        <f t="shared" si="36"/>
        <v>0</v>
      </c>
      <c r="BN35" s="138">
        <f t="shared" si="37"/>
        <v>0</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76"/>
      <c r="BE37" s="277"/>
      <c r="BF37" s="277"/>
      <c r="BG37" s="277"/>
      <c r="BH37" s="277"/>
      <c r="BI37" s="277"/>
      <c r="BJ37" s="277"/>
      <c r="BK37" s="277"/>
      <c r="BL37" s="277"/>
      <c r="BM37" s="278"/>
      <c r="BN37" s="206"/>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1</v>
      </c>
      <c r="X38" s="120">
        <f t="shared" si="50"/>
        <v>0</v>
      </c>
      <c r="Y38" s="120">
        <f t="shared" si="50"/>
        <v>1</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1</v>
      </c>
      <c r="AW38" s="120">
        <f t="shared" si="51"/>
        <v>0</v>
      </c>
      <c r="AX38" s="120">
        <f t="shared" si="51"/>
        <v>0.5</v>
      </c>
      <c r="AY38" s="120">
        <f t="shared" ref="AY38:AY68" si="52">SUM(AA38:AX38)</f>
        <v>1.5</v>
      </c>
      <c r="AZ38" s="20" t="s">
        <v>133</v>
      </c>
      <c r="BD38" s="137">
        <f>(100-SUM(BE38:BN38))</f>
        <v>38.217592592592595</v>
      </c>
      <c r="BE38" s="137">
        <f>(BE39/BO39)*100</f>
        <v>10.532407407407408</v>
      </c>
      <c r="BF38" s="137">
        <f>(BF39/BO39)*100</f>
        <v>0</v>
      </c>
      <c r="BG38" s="137">
        <f>(BG39/BO39)*100</f>
        <v>0</v>
      </c>
      <c r="BH38" s="137">
        <f>(BH39/BO39)*100</f>
        <v>6.5972222222222223</v>
      </c>
      <c r="BI38" s="137">
        <f>(BI39/BO39)*100</f>
        <v>0</v>
      </c>
      <c r="BJ38" s="137">
        <f>(BJ39/BO39)*100</f>
        <v>0.55555555555555558</v>
      </c>
      <c r="BK38" s="137">
        <f>(BK39/BO39)*100</f>
        <v>44.097222222222221</v>
      </c>
      <c r="BL38" s="125">
        <f>(BL39/BO39)*100</f>
        <v>0</v>
      </c>
      <c r="BM38" s="125">
        <f>(BM39/BO39)*100</f>
        <v>0</v>
      </c>
      <c r="BN38" s="137">
        <f>(BN39/BO39)*100</f>
        <v>0</v>
      </c>
      <c r="BO38" s="124">
        <f>SUM(BD38:BN38)</f>
        <v>100</v>
      </c>
    </row>
    <row r="39" spans="1:67">
      <c r="A39" s="120" t="s">
        <v>146</v>
      </c>
      <c r="B39" s="120">
        <f t="shared" ref="B39:Y39" si="53">IF(IFERROR(FIND($A$37,B6,1),0)=0,0,1)</f>
        <v>0</v>
      </c>
      <c r="C39" s="120">
        <f t="shared" si="53"/>
        <v>1</v>
      </c>
      <c r="D39" s="120">
        <f t="shared" si="53"/>
        <v>0</v>
      </c>
      <c r="E39" s="120">
        <f t="shared" si="53"/>
        <v>0</v>
      </c>
      <c r="F39" s="120">
        <f t="shared" si="53"/>
        <v>0</v>
      </c>
      <c r="G39" s="120">
        <f t="shared" si="53"/>
        <v>1</v>
      </c>
      <c r="H39" s="120">
        <f t="shared" si="53"/>
        <v>0</v>
      </c>
      <c r="I39" s="120">
        <f t="shared" si="53"/>
        <v>0</v>
      </c>
      <c r="J39" s="120">
        <f t="shared" si="53"/>
        <v>0</v>
      </c>
      <c r="K39" s="120">
        <f t="shared" si="53"/>
        <v>1</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1</v>
      </c>
      <c r="V39" s="120">
        <f t="shared" si="53"/>
        <v>0</v>
      </c>
      <c r="W39" s="120">
        <f t="shared" si="53"/>
        <v>1</v>
      </c>
      <c r="X39" s="120">
        <f t="shared" si="53"/>
        <v>0</v>
      </c>
      <c r="Y39" s="120">
        <f t="shared" si="53"/>
        <v>1</v>
      </c>
      <c r="AA39" s="120">
        <f t="shared" si="51"/>
        <v>0</v>
      </c>
      <c r="AB39" s="120">
        <f t="shared" si="51"/>
        <v>1</v>
      </c>
      <c r="AC39" s="120">
        <f t="shared" si="51"/>
        <v>0</v>
      </c>
      <c r="AD39" s="120">
        <f t="shared" si="51"/>
        <v>0</v>
      </c>
      <c r="AE39" s="120">
        <f t="shared" si="51"/>
        <v>0</v>
      </c>
      <c r="AF39" s="120">
        <f t="shared" si="51"/>
        <v>1</v>
      </c>
      <c r="AG39" s="120">
        <f t="shared" si="51"/>
        <v>0</v>
      </c>
      <c r="AH39" s="120">
        <f t="shared" si="51"/>
        <v>0</v>
      </c>
      <c r="AI39" s="120">
        <f t="shared" si="51"/>
        <v>0</v>
      </c>
      <c r="AJ39" s="120">
        <f t="shared" si="51"/>
        <v>1</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0.33333333333333331</v>
      </c>
      <c r="AU39" s="120">
        <f t="shared" si="51"/>
        <v>0</v>
      </c>
      <c r="AV39" s="120">
        <f t="shared" si="51"/>
        <v>1</v>
      </c>
      <c r="AW39" s="120">
        <f t="shared" si="51"/>
        <v>0</v>
      </c>
      <c r="AX39" s="120">
        <f t="shared" si="51"/>
        <v>1</v>
      </c>
      <c r="AY39" s="120">
        <f t="shared" si="52"/>
        <v>5.3333333333333339</v>
      </c>
      <c r="AZ39" s="20" t="s">
        <v>133</v>
      </c>
      <c r="BD39" s="126">
        <f>SUM(BD6:BD36)</f>
        <v>275.16666666666663</v>
      </c>
      <c r="BE39" s="126">
        <f t="shared" ref="BE39:BM39" si="54">SUM(BE6:BE36)</f>
        <v>75.833333333333343</v>
      </c>
      <c r="BF39" s="126">
        <f t="shared" si="54"/>
        <v>0</v>
      </c>
      <c r="BG39" s="126">
        <f t="shared" si="54"/>
        <v>0</v>
      </c>
      <c r="BH39" s="126">
        <f t="shared" si="54"/>
        <v>47.5</v>
      </c>
      <c r="BI39" s="126">
        <f t="shared" si="54"/>
        <v>0</v>
      </c>
      <c r="BJ39" s="126">
        <f t="shared" si="54"/>
        <v>4</v>
      </c>
      <c r="BK39" s="126">
        <f>SUM(BK6:BK36)</f>
        <v>317.5</v>
      </c>
      <c r="BL39" s="126">
        <f t="shared" si="54"/>
        <v>0</v>
      </c>
      <c r="BM39" s="126">
        <f t="shared" si="54"/>
        <v>0</v>
      </c>
      <c r="BN39" s="126">
        <f>SUM(BN6:BN36)</f>
        <v>0</v>
      </c>
      <c r="BO39" s="127">
        <f>SUM(BO6:BO36)</f>
        <v>720</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1</v>
      </c>
      <c r="I40" s="120">
        <f t="shared" si="55"/>
        <v>1</v>
      </c>
      <c r="J40" s="120">
        <f t="shared" si="55"/>
        <v>0</v>
      </c>
      <c r="K40" s="120">
        <f t="shared" si="55"/>
        <v>1</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1</v>
      </c>
      <c r="W40" s="120">
        <f t="shared" si="55"/>
        <v>1</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1</v>
      </c>
      <c r="AH40" s="120">
        <f t="shared" si="51"/>
        <v>1</v>
      </c>
      <c r="AI40" s="120">
        <f t="shared" si="51"/>
        <v>0</v>
      </c>
      <c r="AJ40" s="120">
        <f t="shared" si="51"/>
        <v>1</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1</v>
      </c>
      <c r="AV40" s="120">
        <f t="shared" si="51"/>
        <v>1</v>
      </c>
      <c r="AW40" s="120">
        <f t="shared" si="51"/>
        <v>0</v>
      </c>
      <c r="AX40" s="120">
        <f t="shared" si="51"/>
        <v>0</v>
      </c>
      <c r="AY40" s="120">
        <f t="shared" si="52"/>
        <v>5</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v>
      </c>
      <c r="AY41" s="120">
        <f t="shared" si="52"/>
        <v>0</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1</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1</v>
      </c>
      <c r="V42" s="120">
        <f t="shared" si="57"/>
        <v>0</v>
      </c>
      <c r="W42" s="120">
        <f t="shared" si="57"/>
        <v>0</v>
      </c>
      <c r="X42" s="120">
        <f t="shared" si="57"/>
        <v>0</v>
      </c>
      <c r="Y42" s="120">
        <f t="shared" si="57"/>
        <v>1</v>
      </c>
      <c r="AA42" s="120">
        <f t="shared" si="51"/>
        <v>0</v>
      </c>
      <c r="AB42" s="120">
        <f t="shared" si="51"/>
        <v>0</v>
      </c>
      <c r="AC42" s="120">
        <f t="shared" si="51"/>
        <v>0</v>
      </c>
      <c r="AD42" s="120">
        <f t="shared" si="51"/>
        <v>0</v>
      </c>
      <c r="AE42" s="120">
        <f t="shared" si="51"/>
        <v>0</v>
      </c>
      <c r="AF42" s="120">
        <f t="shared" si="51"/>
        <v>0.5</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1</v>
      </c>
      <c r="AU42" s="120">
        <f t="shared" si="51"/>
        <v>0</v>
      </c>
      <c r="AV42" s="120">
        <f t="shared" si="51"/>
        <v>0</v>
      </c>
      <c r="AW42" s="120">
        <f t="shared" si="51"/>
        <v>0</v>
      </c>
      <c r="AX42" s="120">
        <f t="shared" si="51"/>
        <v>1</v>
      </c>
      <c r="AY42" s="120">
        <f t="shared" si="52"/>
        <v>2.5</v>
      </c>
      <c r="AZ42" s="20" t="s">
        <v>133</v>
      </c>
    </row>
    <row r="43" spans="1:67">
      <c r="A43" s="120" t="s">
        <v>150</v>
      </c>
      <c r="B43" s="120">
        <f t="shared" ref="B43:Y43" si="58">IF(IFERROR(FIND($A$37,B10,1),0)=0,0,1)</f>
        <v>1</v>
      </c>
      <c r="C43" s="120">
        <f t="shared" si="58"/>
        <v>1</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0</v>
      </c>
      <c r="X43" s="120">
        <f t="shared" si="58"/>
        <v>1</v>
      </c>
      <c r="Y43" s="120">
        <f t="shared" si="58"/>
        <v>0</v>
      </c>
      <c r="AA43" s="120">
        <f t="shared" si="51"/>
        <v>1</v>
      </c>
      <c r="AB43" s="120">
        <f t="shared" si="51"/>
        <v>1</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0</v>
      </c>
      <c r="AW43" s="120">
        <f t="shared" si="51"/>
        <v>1</v>
      </c>
      <c r="AX43" s="120">
        <f t="shared" si="51"/>
        <v>0</v>
      </c>
      <c r="AY43" s="120">
        <f t="shared" si="52"/>
        <v>3</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1</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1</v>
      </c>
      <c r="AV44" s="120">
        <f t="shared" si="51"/>
        <v>0</v>
      </c>
      <c r="AW44" s="120">
        <f t="shared" si="51"/>
        <v>0</v>
      </c>
      <c r="AX44" s="120">
        <f t="shared" si="51"/>
        <v>0</v>
      </c>
      <c r="AY44" s="120">
        <f t="shared" si="52"/>
        <v>1</v>
      </c>
      <c r="AZ44" s="20" t="s">
        <v>133</v>
      </c>
    </row>
    <row r="45" spans="1:67">
      <c r="A45" s="120" t="s">
        <v>152</v>
      </c>
      <c r="B45" s="120">
        <f t="shared" ref="B45:Y45" si="60">IF(IFERROR(FIND($A$37,B12,1),0)=0,0,1)</f>
        <v>0</v>
      </c>
      <c r="C45" s="120">
        <f t="shared" si="60"/>
        <v>0</v>
      </c>
      <c r="D45" s="120">
        <f t="shared" si="60"/>
        <v>0</v>
      </c>
      <c r="E45" s="120">
        <f t="shared" si="60"/>
        <v>1</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1</v>
      </c>
      <c r="X45" s="120">
        <f t="shared" si="60"/>
        <v>0</v>
      </c>
      <c r="Y45" s="120">
        <f t="shared" si="60"/>
        <v>0</v>
      </c>
      <c r="AA45" s="120">
        <f t="shared" si="51"/>
        <v>0</v>
      </c>
      <c r="AB45" s="120">
        <f t="shared" si="51"/>
        <v>0</v>
      </c>
      <c r="AC45" s="120">
        <f t="shared" si="51"/>
        <v>0</v>
      </c>
      <c r="AD45" s="120">
        <f t="shared" si="51"/>
        <v>1</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1</v>
      </c>
      <c r="AW45" s="120">
        <f t="shared" si="51"/>
        <v>0</v>
      </c>
      <c r="AX45" s="120">
        <f t="shared" si="51"/>
        <v>0</v>
      </c>
      <c r="AY45" s="120">
        <f t="shared" si="52"/>
        <v>2</v>
      </c>
      <c r="AZ45" s="20" t="s">
        <v>133</v>
      </c>
    </row>
    <row r="46" spans="1:67">
      <c r="A46" s="120" t="s">
        <v>153</v>
      </c>
      <c r="B46" s="120">
        <f t="shared" ref="B46:Y46" si="61">IF(IFERROR(FIND($A$37,B13,1),0)=0,0,1)</f>
        <v>0</v>
      </c>
      <c r="C46" s="120">
        <f t="shared" si="61"/>
        <v>0</v>
      </c>
      <c r="D46" s="120">
        <f t="shared" si="61"/>
        <v>0</v>
      </c>
      <c r="E46" s="120">
        <f t="shared" si="61"/>
        <v>0</v>
      </c>
      <c r="F46" s="120">
        <f t="shared" si="61"/>
        <v>1</v>
      </c>
      <c r="G46" s="120">
        <f t="shared" si="61"/>
        <v>0</v>
      </c>
      <c r="H46" s="120">
        <f t="shared" si="61"/>
        <v>0</v>
      </c>
      <c r="I46" s="120">
        <f t="shared" si="61"/>
        <v>1</v>
      </c>
      <c r="J46" s="120">
        <f t="shared" si="61"/>
        <v>1</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1</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1</v>
      </c>
      <c r="AF46" s="120">
        <f t="shared" si="51"/>
        <v>0</v>
      </c>
      <c r="AG46" s="120">
        <f t="shared" si="51"/>
        <v>0</v>
      </c>
      <c r="AH46" s="120">
        <f t="shared" si="51"/>
        <v>0.5</v>
      </c>
      <c r="AI46" s="120">
        <f t="shared" si="51"/>
        <v>0.5</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1</v>
      </c>
      <c r="AU46" s="120">
        <f t="shared" si="51"/>
        <v>0</v>
      </c>
      <c r="AV46" s="120">
        <f t="shared" si="51"/>
        <v>0</v>
      </c>
      <c r="AW46" s="120">
        <f t="shared" si="51"/>
        <v>0</v>
      </c>
      <c r="AX46" s="120">
        <f t="shared" si="51"/>
        <v>0</v>
      </c>
      <c r="AY46" s="120">
        <f t="shared" si="52"/>
        <v>3</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1</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1</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0.33333333333333331</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1</v>
      </c>
      <c r="AX47" s="120">
        <f t="shared" si="51"/>
        <v>0</v>
      </c>
      <c r="AY47" s="120">
        <f t="shared" si="52"/>
        <v>1.3333333333333333</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1</v>
      </c>
      <c r="J48" s="120">
        <f t="shared" si="63"/>
        <v>1</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1</v>
      </c>
      <c r="X48" s="120">
        <f t="shared" si="63"/>
        <v>1</v>
      </c>
      <c r="Y48" s="120">
        <f t="shared" si="63"/>
        <v>1</v>
      </c>
      <c r="AA48" s="120">
        <f t="shared" si="51"/>
        <v>0</v>
      </c>
      <c r="AB48" s="120">
        <f t="shared" si="51"/>
        <v>0</v>
      </c>
      <c r="AC48" s="120">
        <f t="shared" si="51"/>
        <v>0</v>
      </c>
      <c r="AD48" s="120">
        <f t="shared" si="51"/>
        <v>0</v>
      </c>
      <c r="AE48" s="120">
        <f t="shared" si="51"/>
        <v>0</v>
      </c>
      <c r="AF48" s="120">
        <f t="shared" si="51"/>
        <v>0</v>
      </c>
      <c r="AG48" s="120">
        <f t="shared" si="51"/>
        <v>0</v>
      </c>
      <c r="AH48" s="120">
        <f t="shared" si="51"/>
        <v>1</v>
      </c>
      <c r="AI48" s="120">
        <f t="shared" si="51"/>
        <v>1</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1</v>
      </c>
      <c r="AW48" s="120">
        <f t="shared" si="64"/>
        <v>1</v>
      </c>
      <c r="AX48" s="120">
        <f t="shared" si="64"/>
        <v>1</v>
      </c>
      <c r="AY48" s="120">
        <f t="shared" si="52"/>
        <v>5</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1</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1</v>
      </c>
      <c r="W49" s="120">
        <f t="shared" si="65"/>
        <v>1</v>
      </c>
      <c r="X49" s="120">
        <f t="shared" si="65"/>
        <v>0</v>
      </c>
      <c r="Y49" s="120">
        <f t="shared" si="65"/>
        <v>1</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1</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1</v>
      </c>
      <c r="AV49" s="120">
        <f t="shared" si="64"/>
        <v>1</v>
      </c>
      <c r="AW49" s="120">
        <f t="shared" si="64"/>
        <v>0</v>
      </c>
      <c r="AX49" s="120">
        <f t="shared" si="64"/>
        <v>1</v>
      </c>
      <c r="AY49" s="120">
        <f t="shared" si="52"/>
        <v>4</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1</v>
      </c>
      <c r="I50" s="120">
        <f t="shared" si="67"/>
        <v>1</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1</v>
      </c>
      <c r="W50" s="120">
        <f t="shared" si="67"/>
        <v>0</v>
      </c>
      <c r="X50" s="120">
        <f t="shared" si="67"/>
        <v>1</v>
      </c>
      <c r="Y50" s="120">
        <f t="shared" si="67"/>
        <v>0</v>
      </c>
      <c r="AA50" s="120">
        <f t="shared" si="66"/>
        <v>0</v>
      </c>
      <c r="AB50" s="120">
        <f t="shared" si="66"/>
        <v>0</v>
      </c>
      <c r="AC50" s="120">
        <f t="shared" si="66"/>
        <v>0</v>
      </c>
      <c r="AD50" s="120">
        <f t="shared" si="66"/>
        <v>0</v>
      </c>
      <c r="AE50" s="120">
        <f t="shared" si="66"/>
        <v>0</v>
      </c>
      <c r="AF50" s="120">
        <f t="shared" si="66"/>
        <v>0</v>
      </c>
      <c r="AG50" s="120">
        <f t="shared" si="66"/>
        <v>1</v>
      </c>
      <c r="AH50" s="120">
        <f t="shared" si="66"/>
        <v>1</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1</v>
      </c>
      <c r="AV50" s="120">
        <f t="shared" si="64"/>
        <v>0</v>
      </c>
      <c r="AW50" s="120">
        <f t="shared" si="64"/>
        <v>1</v>
      </c>
      <c r="AX50" s="120">
        <f t="shared" si="64"/>
        <v>0</v>
      </c>
      <c r="AY50" s="120">
        <f t="shared" si="52"/>
        <v>4</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1</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1</v>
      </c>
      <c r="AY51" s="120">
        <f t="shared" si="52"/>
        <v>1</v>
      </c>
      <c r="AZ51" s="20" t="s">
        <v>133</v>
      </c>
    </row>
    <row r="52" spans="1:52">
      <c r="A52" s="120" t="s">
        <v>159</v>
      </c>
      <c r="B52" s="120">
        <f t="shared" ref="B52:Y52" si="69">IF(IFERROR(FIND($A$37,B19,1),0)=0,0,1)</f>
        <v>1</v>
      </c>
      <c r="C52" s="120">
        <f t="shared" si="69"/>
        <v>1</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1</v>
      </c>
      <c r="Y52" s="120">
        <f t="shared" si="69"/>
        <v>0</v>
      </c>
      <c r="AA52" s="120">
        <f t="shared" si="66"/>
        <v>1</v>
      </c>
      <c r="AB52" s="120">
        <f t="shared" si="66"/>
        <v>1</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1</v>
      </c>
      <c r="AX52" s="120">
        <f t="shared" si="64"/>
        <v>0</v>
      </c>
      <c r="AY52" s="120">
        <f t="shared" si="52"/>
        <v>3</v>
      </c>
      <c r="AZ52" s="20" t="s">
        <v>133</v>
      </c>
    </row>
    <row r="53" spans="1:52">
      <c r="A53" s="120" t="s">
        <v>160</v>
      </c>
      <c r="B53" s="120">
        <f t="shared" ref="B53:Y53" si="70">IF(IFERROR(FIND($A$37,B20,1),0)=0,0,1)</f>
        <v>1</v>
      </c>
      <c r="C53" s="120">
        <f t="shared" si="70"/>
        <v>0</v>
      </c>
      <c r="D53" s="120">
        <f t="shared" si="70"/>
        <v>0</v>
      </c>
      <c r="E53" s="120">
        <f t="shared" si="70"/>
        <v>0</v>
      </c>
      <c r="F53" s="120">
        <f t="shared" si="70"/>
        <v>0</v>
      </c>
      <c r="G53" s="120">
        <f t="shared" si="70"/>
        <v>0</v>
      </c>
      <c r="H53" s="120">
        <f t="shared" si="70"/>
        <v>0</v>
      </c>
      <c r="I53" s="120">
        <f t="shared" si="70"/>
        <v>1</v>
      </c>
      <c r="J53" s="120">
        <f t="shared" si="70"/>
        <v>1</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1</v>
      </c>
      <c r="V53" s="120">
        <f t="shared" si="70"/>
        <v>0</v>
      </c>
      <c r="W53" s="120">
        <f t="shared" si="70"/>
        <v>0</v>
      </c>
      <c r="X53" s="120">
        <f t="shared" si="70"/>
        <v>0</v>
      </c>
      <c r="Y53" s="120">
        <f t="shared" si="70"/>
        <v>0</v>
      </c>
      <c r="AA53" s="120">
        <f t="shared" si="66"/>
        <v>0.5</v>
      </c>
      <c r="AB53" s="120">
        <f t="shared" si="66"/>
        <v>0</v>
      </c>
      <c r="AC53" s="120">
        <f t="shared" si="66"/>
        <v>0</v>
      </c>
      <c r="AD53" s="120">
        <f t="shared" si="66"/>
        <v>0</v>
      </c>
      <c r="AE53" s="120">
        <f t="shared" si="66"/>
        <v>0</v>
      </c>
      <c r="AF53" s="120">
        <f t="shared" si="66"/>
        <v>0</v>
      </c>
      <c r="AG53" s="120">
        <f t="shared" si="66"/>
        <v>0</v>
      </c>
      <c r="AH53" s="120">
        <f t="shared" si="66"/>
        <v>0.33333333333333331</v>
      </c>
      <c r="AI53" s="120">
        <f t="shared" si="66"/>
        <v>0.33333333333333331</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1</v>
      </c>
      <c r="AU53" s="120">
        <f t="shared" si="64"/>
        <v>0</v>
      </c>
      <c r="AV53" s="120">
        <f t="shared" si="64"/>
        <v>0</v>
      </c>
      <c r="AW53" s="120">
        <f t="shared" si="64"/>
        <v>0</v>
      </c>
      <c r="AX53" s="120">
        <f t="shared" si="64"/>
        <v>0</v>
      </c>
      <c r="AY53" s="120">
        <f t="shared" si="52"/>
        <v>2.1666666666666665</v>
      </c>
      <c r="AZ53" s="20" t="s">
        <v>133</v>
      </c>
    </row>
    <row r="54" spans="1:52">
      <c r="A54" s="120" t="s">
        <v>161</v>
      </c>
      <c r="B54" s="120">
        <f t="shared" ref="B54:Y54" si="71">IF(IFERROR(FIND($A$37,B21,1),0)=0,0,1)</f>
        <v>1</v>
      </c>
      <c r="C54" s="120">
        <f t="shared" si="71"/>
        <v>0</v>
      </c>
      <c r="D54" s="120">
        <f t="shared" si="71"/>
        <v>0</v>
      </c>
      <c r="E54" s="120">
        <f t="shared" si="71"/>
        <v>0</v>
      </c>
      <c r="F54" s="120">
        <f t="shared" si="71"/>
        <v>0</v>
      </c>
      <c r="G54" s="120">
        <f t="shared" si="71"/>
        <v>0</v>
      </c>
      <c r="H54" s="120">
        <f t="shared" si="71"/>
        <v>1</v>
      </c>
      <c r="I54" s="120">
        <f t="shared" si="71"/>
        <v>0</v>
      </c>
      <c r="J54" s="120">
        <f t="shared" si="71"/>
        <v>0</v>
      </c>
      <c r="K54" s="120">
        <f t="shared" si="71"/>
        <v>1</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1</v>
      </c>
      <c r="Y54" s="120">
        <f t="shared" si="71"/>
        <v>0</v>
      </c>
      <c r="AA54" s="120">
        <f t="shared" si="66"/>
        <v>1</v>
      </c>
      <c r="AB54" s="120">
        <f t="shared" si="66"/>
        <v>0</v>
      </c>
      <c r="AC54" s="120">
        <f t="shared" si="66"/>
        <v>0</v>
      </c>
      <c r="AD54" s="120">
        <f t="shared" si="66"/>
        <v>0</v>
      </c>
      <c r="AE54" s="120">
        <f t="shared" si="66"/>
        <v>0</v>
      </c>
      <c r="AF54" s="120">
        <f t="shared" si="66"/>
        <v>0</v>
      </c>
      <c r="AG54" s="120">
        <f t="shared" si="66"/>
        <v>1</v>
      </c>
      <c r="AH54" s="120">
        <f t="shared" si="66"/>
        <v>0</v>
      </c>
      <c r="AI54" s="120">
        <f t="shared" si="66"/>
        <v>0</v>
      </c>
      <c r="AJ54" s="120">
        <f t="shared" si="66"/>
        <v>1</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1</v>
      </c>
      <c r="AX54" s="120">
        <f t="shared" si="64"/>
        <v>0</v>
      </c>
      <c r="AY54" s="120">
        <f t="shared" si="52"/>
        <v>4</v>
      </c>
      <c r="AZ54" s="20" t="s">
        <v>133</v>
      </c>
    </row>
    <row r="55" spans="1:52">
      <c r="A55" s="120" t="s">
        <v>162</v>
      </c>
      <c r="B55" s="120">
        <f t="shared" ref="B55:Y55" si="72">IF(IFERROR(FIND($A$37,B22,1),0)=0,0,1)</f>
        <v>0</v>
      </c>
      <c r="C55" s="120">
        <f t="shared" si="72"/>
        <v>1</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1</v>
      </c>
      <c r="M55" s="120">
        <f t="shared" si="72"/>
        <v>0</v>
      </c>
      <c r="N55" s="120">
        <f t="shared" si="72"/>
        <v>0</v>
      </c>
      <c r="O55" s="120">
        <f t="shared" si="72"/>
        <v>0</v>
      </c>
      <c r="P55" s="120">
        <f t="shared" si="72"/>
        <v>0</v>
      </c>
      <c r="Q55" s="120">
        <f t="shared" si="72"/>
        <v>0</v>
      </c>
      <c r="R55" s="120">
        <f t="shared" si="72"/>
        <v>0</v>
      </c>
      <c r="S55" s="120">
        <f t="shared" si="72"/>
        <v>1</v>
      </c>
      <c r="T55" s="120">
        <f t="shared" si="72"/>
        <v>0</v>
      </c>
      <c r="U55" s="120">
        <f t="shared" si="72"/>
        <v>0</v>
      </c>
      <c r="V55" s="120">
        <f t="shared" si="72"/>
        <v>0</v>
      </c>
      <c r="W55" s="120">
        <f t="shared" si="72"/>
        <v>0</v>
      </c>
      <c r="X55" s="120">
        <f t="shared" si="72"/>
        <v>0</v>
      </c>
      <c r="Y55" s="120">
        <f t="shared" si="72"/>
        <v>0</v>
      </c>
      <c r="AA55" s="120">
        <f t="shared" si="66"/>
        <v>0</v>
      </c>
      <c r="AB55" s="120">
        <f t="shared" si="66"/>
        <v>0.5</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1</v>
      </c>
      <c r="AL55" s="120">
        <f t="shared" si="66"/>
        <v>0</v>
      </c>
      <c r="AM55" s="120">
        <f t="shared" si="66"/>
        <v>0</v>
      </c>
      <c r="AN55" s="120">
        <f t="shared" si="66"/>
        <v>0</v>
      </c>
      <c r="AO55" s="120">
        <f t="shared" si="66"/>
        <v>0</v>
      </c>
      <c r="AP55" s="120">
        <f t="shared" si="64"/>
        <v>0</v>
      </c>
      <c r="AQ55" s="120">
        <f t="shared" si="64"/>
        <v>0</v>
      </c>
      <c r="AR55" s="120">
        <f t="shared" si="64"/>
        <v>1</v>
      </c>
      <c r="AS55" s="120">
        <f t="shared" si="64"/>
        <v>0</v>
      </c>
      <c r="AT55" s="120">
        <f t="shared" si="64"/>
        <v>0</v>
      </c>
      <c r="AU55" s="120">
        <f t="shared" si="64"/>
        <v>0</v>
      </c>
      <c r="AV55" s="120">
        <f t="shared" si="64"/>
        <v>0</v>
      </c>
      <c r="AW55" s="120">
        <f t="shared" si="64"/>
        <v>0</v>
      </c>
      <c r="AX55" s="120">
        <f t="shared" si="64"/>
        <v>0</v>
      </c>
      <c r="AY55" s="120">
        <f t="shared" si="52"/>
        <v>2.5</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1</v>
      </c>
      <c r="AU56" s="120">
        <f t="shared" si="64"/>
        <v>0</v>
      </c>
      <c r="AV56" s="120">
        <f t="shared" si="64"/>
        <v>0</v>
      </c>
      <c r="AW56" s="120">
        <f t="shared" si="64"/>
        <v>0</v>
      </c>
      <c r="AX56" s="120">
        <f t="shared" si="64"/>
        <v>0</v>
      </c>
      <c r="AY56" s="120">
        <f t="shared" si="52"/>
        <v>1</v>
      </c>
      <c r="AZ56" s="20" t="s">
        <v>133</v>
      </c>
    </row>
    <row r="57" spans="1:52">
      <c r="A57" s="120" t="s">
        <v>164</v>
      </c>
      <c r="B57" s="120">
        <f t="shared" ref="B57:Y57" si="74">IF(IFERROR(FIND($A$37,B24,1),0)=0,0,1)</f>
        <v>0</v>
      </c>
      <c r="C57" s="120">
        <f t="shared" si="74"/>
        <v>1</v>
      </c>
      <c r="D57" s="120">
        <f t="shared" si="74"/>
        <v>0</v>
      </c>
      <c r="E57" s="120">
        <f t="shared" si="74"/>
        <v>0</v>
      </c>
      <c r="F57" s="120">
        <f t="shared" si="74"/>
        <v>0</v>
      </c>
      <c r="G57" s="120">
        <f t="shared" si="74"/>
        <v>1</v>
      </c>
      <c r="H57" s="120">
        <f t="shared" si="74"/>
        <v>0</v>
      </c>
      <c r="I57" s="120">
        <f t="shared" si="74"/>
        <v>1</v>
      </c>
      <c r="J57" s="120">
        <f t="shared" si="74"/>
        <v>1</v>
      </c>
      <c r="K57" s="120">
        <f t="shared" si="74"/>
        <v>0</v>
      </c>
      <c r="L57" s="120">
        <f t="shared" si="74"/>
        <v>1</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1</v>
      </c>
      <c r="Y57" s="120">
        <f t="shared" si="74"/>
        <v>0</v>
      </c>
      <c r="AA57" s="120">
        <f t="shared" si="66"/>
        <v>0</v>
      </c>
      <c r="AB57" s="120">
        <f t="shared" si="66"/>
        <v>1</v>
      </c>
      <c r="AC57" s="120">
        <f t="shared" si="66"/>
        <v>0</v>
      </c>
      <c r="AD57" s="120">
        <f t="shared" si="66"/>
        <v>0</v>
      </c>
      <c r="AE57" s="120">
        <f t="shared" si="66"/>
        <v>0</v>
      </c>
      <c r="AF57" s="120">
        <f t="shared" si="66"/>
        <v>1</v>
      </c>
      <c r="AG57" s="120">
        <f t="shared" si="66"/>
        <v>0</v>
      </c>
      <c r="AH57" s="120">
        <f t="shared" si="66"/>
        <v>1</v>
      </c>
      <c r="AI57" s="120">
        <f t="shared" si="66"/>
        <v>1</v>
      </c>
      <c r="AJ57" s="120">
        <f t="shared" si="66"/>
        <v>0</v>
      </c>
      <c r="AK57" s="120">
        <f t="shared" si="66"/>
        <v>1</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0.5</v>
      </c>
      <c r="AX57" s="120">
        <f t="shared" si="64"/>
        <v>0</v>
      </c>
      <c r="AY57" s="120">
        <f t="shared" si="52"/>
        <v>5.5</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1</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0</v>
      </c>
      <c r="X58" s="120">
        <f t="shared" si="75"/>
        <v>0</v>
      </c>
      <c r="Y58" s="120">
        <f t="shared" si="75"/>
        <v>1</v>
      </c>
      <c r="AA58" s="120">
        <f t="shared" si="66"/>
        <v>0</v>
      </c>
      <c r="AB58" s="120">
        <f t="shared" si="66"/>
        <v>0</v>
      </c>
      <c r="AC58" s="120">
        <f t="shared" si="66"/>
        <v>0</v>
      </c>
      <c r="AD58" s="120">
        <f t="shared" si="66"/>
        <v>0</v>
      </c>
      <c r="AE58" s="120">
        <f t="shared" si="66"/>
        <v>0</v>
      </c>
      <c r="AF58" s="120">
        <f t="shared" si="66"/>
        <v>0</v>
      </c>
      <c r="AG58" s="120">
        <f t="shared" si="66"/>
        <v>1</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0</v>
      </c>
      <c r="AW58" s="120">
        <f t="shared" si="64"/>
        <v>0</v>
      </c>
      <c r="AX58" s="120">
        <f t="shared" si="64"/>
        <v>1</v>
      </c>
      <c r="AY58" s="120">
        <f t="shared" si="52"/>
        <v>2</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1</v>
      </c>
      <c r="H59" s="120">
        <f t="shared" si="76"/>
        <v>0</v>
      </c>
      <c r="I59" s="120">
        <f t="shared" si="76"/>
        <v>1</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1</v>
      </c>
      <c r="U59" s="120">
        <f t="shared" si="76"/>
        <v>0</v>
      </c>
      <c r="V59" s="120">
        <f t="shared" si="76"/>
        <v>0</v>
      </c>
      <c r="W59" s="120">
        <f t="shared" si="76"/>
        <v>0</v>
      </c>
      <c r="X59" s="120">
        <f t="shared" si="76"/>
        <v>1</v>
      </c>
      <c r="Y59" s="120">
        <f t="shared" si="76"/>
        <v>0</v>
      </c>
      <c r="AA59" s="120">
        <f t="shared" si="66"/>
        <v>0</v>
      </c>
      <c r="AB59" s="120">
        <f t="shared" si="66"/>
        <v>0</v>
      </c>
      <c r="AC59" s="120">
        <f t="shared" si="66"/>
        <v>0</v>
      </c>
      <c r="AD59" s="120">
        <f t="shared" si="66"/>
        <v>0</v>
      </c>
      <c r="AE59" s="120">
        <f t="shared" si="66"/>
        <v>0</v>
      </c>
      <c r="AF59" s="120">
        <f t="shared" si="66"/>
        <v>1</v>
      </c>
      <c r="AG59" s="120">
        <f t="shared" si="66"/>
        <v>0</v>
      </c>
      <c r="AH59" s="120">
        <f t="shared" si="66"/>
        <v>1</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1</v>
      </c>
      <c r="AT59" s="120">
        <f t="shared" si="64"/>
        <v>0</v>
      </c>
      <c r="AU59" s="120">
        <f t="shared" si="64"/>
        <v>0</v>
      </c>
      <c r="AV59" s="120">
        <f t="shared" si="64"/>
        <v>0</v>
      </c>
      <c r="AW59" s="120">
        <f t="shared" si="64"/>
        <v>1</v>
      </c>
      <c r="AX59" s="120">
        <f t="shared" si="64"/>
        <v>0</v>
      </c>
      <c r="AY59" s="120">
        <f t="shared" si="52"/>
        <v>4</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1</v>
      </c>
      <c r="Y60" s="120">
        <f t="shared" si="77"/>
        <v>1</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1</v>
      </c>
      <c r="AX60" s="120">
        <f t="shared" si="64"/>
        <v>1</v>
      </c>
      <c r="AY60" s="120">
        <f t="shared" si="52"/>
        <v>2</v>
      </c>
      <c r="AZ60" s="20" t="s">
        <v>133</v>
      </c>
    </row>
    <row r="61" spans="1:52">
      <c r="A61" s="120" t="s">
        <v>168</v>
      </c>
      <c r="B61" s="120">
        <f t="shared" ref="B61:Y61" si="78">IF(IFERROR(FIND($A$37,B28,1),0)=0,0,1)</f>
        <v>0</v>
      </c>
      <c r="C61" s="120">
        <f t="shared" si="78"/>
        <v>0</v>
      </c>
      <c r="D61" s="120">
        <f t="shared" si="78"/>
        <v>1</v>
      </c>
      <c r="E61" s="120">
        <f t="shared" si="78"/>
        <v>1</v>
      </c>
      <c r="F61" s="120">
        <f t="shared" si="78"/>
        <v>1</v>
      </c>
      <c r="G61" s="120">
        <f t="shared" si="78"/>
        <v>1</v>
      </c>
      <c r="H61" s="120">
        <f t="shared" si="78"/>
        <v>0</v>
      </c>
      <c r="I61" s="120">
        <f t="shared" si="78"/>
        <v>0</v>
      </c>
      <c r="J61" s="120">
        <f t="shared" si="78"/>
        <v>0</v>
      </c>
      <c r="K61" s="120">
        <f t="shared" si="78"/>
        <v>0</v>
      </c>
      <c r="L61" s="120">
        <f t="shared" si="78"/>
        <v>1</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1</v>
      </c>
      <c r="Y61" s="120">
        <f t="shared" si="78"/>
        <v>0</v>
      </c>
      <c r="AA61" s="120">
        <f t="shared" si="66"/>
        <v>0</v>
      </c>
      <c r="AB61" s="120">
        <f t="shared" si="66"/>
        <v>0</v>
      </c>
      <c r="AC61" s="120">
        <f t="shared" si="66"/>
        <v>1</v>
      </c>
      <c r="AD61" s="120">
        <f t="shared" si="66"/>
        <v>0.5</v>
      </c>
      <c r="AE61" s="120">
        <f t="shared" si="66"/>
        <v>0.5</v>
      </c>
      <c r="AF61" s="120">
        <f t="shared" si="66"/>
        <v>0.5</v>
      </c>
      <c r="AG61" s="120">
        <f t="shared" si="66"/>
        <v>0</v>
      </c>
      <c r="AH61" s="120">
        <f t="shared" si="66"/>
        <v>0</v>
      </c>
      <c r="AI61" s="120">
        <f t="shared" si="66"/>
        <v>0</v>
      </c>
      <c r="AJ61" s="120">
        <f t="shared" si="66"/>
        <v>0</v>
      </c>
      <c r="AK61" s="120">
        <f t="shared" si="66"/>
        <v>1</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1</v>
      </c>
      <c r="AX61" s="120">
        <f t="shared" si="64"/>
        <v>0</v>
      </c>
      <c r="AY61" s="120">
        <f t="shared" si="52"/>
        <v>4.5</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0</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1</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1</v>
      </c>
      <c r="AY63" s="120">
        <f t="shared" si="52"/>
        <v>1</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0</v>
      </c>
      <c r="AZ64" s="20" t="s">
        <v>133</v>
      </c>
    </row>
    <row r="65" spans="1:52">
      <c r="A65" s="120" t="s">
        <v>172</v>
      </c>
      <c r="B65" s="120">
        <f t="shared" ref="B65:Y65" si="83">IF(IFERROR(FIND($A$37,B32,1),0)=0,0,1)</f>
        <v>1</v>
      </c>
      <c r="C65" s="120">
        <f t="shared" si="83"/>
        <v>1</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1</v>
      </c>
      <c r="AB65" s="120">
        <f t="shared" si="84"/>
        <v>1</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2</v>
      </c>
      <c r="AZ65" s="20" t="s">
        <v>133</v>
      </c>
    </row>
    <row r="66" spans="1:52">
      <c r="A66" s="120" t="s">
        <v>173</v>
      </c>
      <c r="B66" s="120">
        <f t="shared" ref="B66:Y66" si="85">IF(IFERROR(FIND($A$37,B33,1),0)=0,0,1)</f>
        <v>0</v>
      </c>
      <c r="C66" s="120">
        <f t="shared" si="85"/>
        <v>0</v>
      </c>
      <c r="D66" s="120">
        <f t="shared" si="85"/>
        <v>1</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1</v>
      </c>
      <c r="V66" s="120">
        <f t="shared" si="85"/>
        <v>0</v>
      </c>
      <c r="W66" s="120">
        <f t="shared" si="85"/>
        <v>0</v>
      </c>
      <c r="X66" s="120">
        <f t="shared" si="85"/>
        <v>0</v>
      </c>
      <c r="Y66" s="120">
        <f t="shared" si="85"/>
        <v>0</v>
      </c>
      <c r="AA66" s="120">
        <f t="shared" si="84"/>
        <v>0</v>
      </c>
      <c r="AB66" s="120">
        <f t="shared" si="84"/>
        <v>0</v>
      </c>
      <c r="AC66" s="120">
        <f t="shared" si="84"/>
        <v>1</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1</v>
      </c>
      <c r="AU66" s="120">
        <f t="shared" si="82"/>
        <v>0</v>
      </c>
      <c r="AV66" s="120">
        <f t="shared" si="82"/>
        <v>0</v>
      </c>
      <c r="AW66" s="120">
        <f t="shared" si="82"/>
        <v>0</v>
      </c>
      <c r="AX66" s="120">
        <f t="shared" si="82"/>
        <v>0</v>
      </c>
      <c r="AY66" s="120">
        <f t="shared" si="52"/>
        <v>2</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1</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1</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0.5</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1</v>
      </c>
      <c r="AT67" s="120">
        <f t="shared" si="82"/>
        <v>0</v>
      </c>
      <c r="AU67" s="120">
        <f t="shared" si="82"/>
        <v>0</v>
      </c>
      <c r="AV67" s="120">
        <f t="shared" si="82"/>
        <v>0</v>
      </c>
      <c r="AW67" s="120">
        <f t="shared" si="82"/>
        <v>0</v>
      </c>
      <c r="AX67" s="120">
        <f t="shared" si="82"/>
        <v>0</v>
      </c>
      <c r="AY67" s="120">
        <f t="shared" si="52"/>
        <v>1.5</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1</v>
      </c>
      <c r="D137" s="120">
        <f t="shared" si="112"/>
        <v>1</v>
      </c>
      <c r="E137" s="120">
        <f t="shared" si="112"/>
        <v>1</v>
      </c>
      <c r="F137" s="120">
        <f t="shared" si="112"/>
        <v>0</v>
      </c>
      <c r="G137" s="120">
        <f t="shared" si="112"/>
        <v>1</v>
      </c>
      <c r="H137" s="120">
        <f t="shared" si="112"/>
        <v>0</v>
      </c>
      <c r="I137" s="120">
        <f t="shared" si="112"/>
        <v>0</v>
      </c>
      <c r="J137" s="120">
        <f t="shared" si="112"/>
        <v>0</v>
      </c>
      <c r="K137" s="120">
        <f t="shared" si="112"/>
        <v>0</v>
      </c>
      <c r="L137" s="120">
        <f t="shared" si="112"/>
        <v>0</v>
      </c>
      <c r="M137" s="120">
        <f t="shared" si="112"/>
        <v>0</v>
      </c>
      <c r="N137" s="120">
        <f t="shared" si="112"/>
        <v>0</v>
      </c>
      <c r="O137" s="120">
        <f t="shared" si="112"/>
        <v>0</v>
      </c>
      <c r="P137" s="120">
        <f t="shared" si="112"/>
        <v>0</v>
      </c>
      <c r="Q137" s="120">
        <f t="shared" si="112"/>
        <v>0</v>
      </c>
      <c r="R137" s="120">
        <f t="shared" si="112"/>
        <v>0</v>
      </c>
      <c r="S137" s="120">
        <f t="shared" si="112"/>
        <v>0</v>
      </c>
      <c r="T137" s="120">
        <f t="shared" si="112"/>
        <v>1</v>
      </c>
      <c r="U137" s="120">
        <f t="shared" si="112"/>
        <v>0</v>
      </c>
      <c r="V137" s="120">
        <f t="shared" si="112"/>
        <v>1</v>
      </c>
      <c r="W137" s="120">
        <f t="shared" si="112"/>
        <v>0</v>
      </c>
      <c r="X137" s="120">
        <f t="shared" si="112"/>
        <v>1</v>
      </c>
      <c r="Y137" s="120">
        <f t="shared" ref="Y137:Y167" si="113">IF(IFERROR(FIND($A$136,Y5,1),0)=0,0,1)</f>
        <v>1</v>
      </c>
      <c r="AA137" s="120">
        <f t="shared" ref="AA137:AX147" si="114">IF(B137=0,0,B137/AA5)</f>
        <v>1</v>
      </c>
      <c r="AB137" s="120">
        <f t="shared" si="114"/>
        <v>0.5</v>
      </c>
      <c r="AC137" s="120">
        <f t="shared" si="114"/>
        <v>1</v>
      </c>
      <c r="AD137" s="120">
        <f t="shared" si="114"/>
        <v>1</v>
      </c>
      <c r="AE137" s="120">
        <f t="shared" si="114"/>
        <v>0</v>
      </c>
      <c r="AF137" s="120">
        <f t="shared" si="114"/>
        <v>1</v>
      </c>
      <c r="AG137" s="120">
        <f t="shared" si="114"/>
        <v>0</v>
      </c>
      <c r="AH137" s="120">
        <f t="shared" si="114"/>
        <v>0</v>
      </c>
      <c r="AI137" s="120">
        <f t="shared" si="114"/>
        <v>0</v>
      </c>
      <c r="AJ137" s="120">
        <f t="shared" si="114"/>
        <v>0</v>
      </c>
      <c r="AK137" s="120">
        <f t="shared" si="114"/>
        <v>0</v>
      </c>
      <c r="AL137" s="120">
        <f t="shared" si="114"/>
        <v>0</v>
      </c>
      <c r="AM137" s="120">
        <f t="shared" si="114"/>
        <v>0</v>
      </c>
      <c r="AN137" s="120">
        <f t="shared" si="114"/>
        <v>0</v>
      </c>
      <c r="AO137" s="120">
        <f t="shared" si="114"/>
        <v>0</v>
      </c>
      <c r="AP137" s="120">
        <f t="shared" si="114"/>
        <v>0</v>
      </c>
      <c r="AQ137" s="120">
        <f t="shared" si="114"/>
        <v>0</v>
      </c>
      <c r="AR137" s="120">
        <f t="shared" si="114"/>
        <v>0</v>
      </c>
      <c r="AS137" s="120">
        <f t="shared" si="114"/>
        <v>1</v>
      </c>
      <c r="AT137" s="120">
        <f t="shared" si="114"/>
        <v>0</v>
      </c>
      <c r="AU137" s="120">
        <f t="shared" si="114"/>
        <v>1</v>
      </c>
      <c r="AV137" s="120">
        <f t="shared" si="114"/>
        <v>0</v>
      </c>
      <c r="AW137" s="120">
        <f t="shared" si="114"/>
        <v>1</v>
      </c>
      <c r="AX137" s="120">
        <f t="shared" si="114"/>
        <v>0.5</v>
      </c>
      <c r="AY137" s="120">
        <f t="shared" ref="AY137:AY167" si="115">SUM(AA137:AX137)</f>
        <v>8</v>
      </c>
      <c r="AZ137" s="20" t="s">
        <v>136</v>
      </c>
    </row>
    <row r="138" spans="1:52">
      <c r="A138" s="120" t="s">
        <v>146</v>
      </c>
      <c r="B138" s="120">
        <f t="shared" ref="B138:X149" si="116">IF(IFERROR(FIND($A$136,B6,1),0)=0,0,1)</f>
        <v>1</v>
      </c>
      <c r="C138" s="120">
        <f t="shared" si="116"/>
        <v>0</v>
      </c>
      <c r="D138" s="120">
        <f t="shared" si="116"/>
        <v>1</v>
      </c>
      <c r="E138" s="120">
        <f t="shared" si="116"/>
        <v>1</v>
      </c>
      <c r="F138" s="120">
        <f t="shared" si="116"/>
        <v>1</v>
      </c>
      <c r="G138" s="120">
        <f t="shared" si="116"/>
        <v>0</v>
      </c>
      <c r="H138" s="120">
        <f t="shared" si="116"/>
        <v>1</v>
      </c>
      <c r="I138" s="120">
        <f t="shared" si="116"/>
        <v>0</v>
      </c>
      <c r="J138" s="120">
        <f t="shared" si="116"/>
        <v>1</v>
      </c>
      <c r="K138" s="120">
        <f t="shared" si="116"/>
        <v>0</v>
      </c>
      <c r="L138" s="120">
        <f t="shared" si="116"/>
        <v>1</v>
      </c>
      <c r="M138" s="120">
        <f t="shared" si="116"/>
        <v>1</v>
      </c>
      <c r="N138" s="120">
        <f t="shared" si="116"/>
        <v>0</v>
      </c>
      <c r="O138" s="120">
        <f t="shared" si="116"/>
        <v>0</v>
      </c>
      <c r="P138" s="120">
        <f t="shared" si="116"/>
        <v>0</v>
      </c>
      <c r="Q138" s="120">
        <f t="shared" si="116"/>
        <v>0</v>
      </c>
      <c r="R138" s="120">
        <f t="shared" si="116"/>
        <v>0</v>
      </c>
      <c r="S138" s="120">
        <f t="shared" si="116"/>
        <v>1</v>
      </c>
      <c r="T138" s="120">
        <f t="shared" si="116"/>
        <v>1</v>
      </c>
      <c r="U138" s="120">
        <f t="shared" si="116"/>
        <v>1</v>
      </c>
      <c r="V138" s="120">
        <f t="shared" si="116"/>
        <v>1</v>
      </c>
      <c r="W138" s="120">
        <f t="shared" si="116"/>
        <v>0</v>
      </c>
      <c r="X138" s="120">
        <f t="shared" si="116"/>
        <v>1</v>
      </c>
      <c r="Y138" s="120">
        <f t="shared" si="113"/>
        <v>0</v>
      </c>
      <c r="AA138" s="120">
        <f t="shared" si="114"/>
        <v>1</v>
      </c>
      <c r="AB138" s="120">
        <f t="shared" si="114"/>
        <v>0</v>
      </c>
      <c r="AC138" s="120">
        <f t="shared" si="114"/>
        <v>1</v>
      </c>
      <c r="AD138" s="120">
        <f t="shared" si="114"/>
        <v>0.5</v>
      </c>
      <c r="AE138" s="120">
        <f t="shared" si="114"/>
        <v>1</v>
      </c>
      <c r="AF138" s="120">
        <f t="shared" si="114"/>
        <v>0</v>
      </c>
      <c r="AG138" s="120">
        <f t="shared" si="114"/>
        <v>1</v>
      </c>
      <c r="AH138" s="120">
        <f t="shared" si="114"/>
        <v>0</v>
      </c>
      <c r="AI138" s="120">
        <f t="shared" si="114"/>
        <v>1</v>
      </c>
      <c r="AJ138" s="120">
        <f t="shared" si="114"/>
        <v>0</v>
      </c>
      <c r="AK138" s="120">
        <f t="shared" si="114"/>
        <v>1</v>
      </c>
      <c r="AL138" s="120">
        <f t="shared" si="114"/>
        <v>1</v>
      </c>
      <c r="AM138" s="120">
        <f t="shared" si="114"/>
        <v>0</v>
      </c>
      <c r="AN138" s="120">
        <f t="shared" si="114"/>
        <v>0</v>
      </c>
      <c r="AO138" s="120">
        <f t="shared" si="114"/>
        <v>0</v>
      </c>
      <c r="AP138" s="120">
        <f t="shared" si="114"/>
        <v>0</v>
      </c>
      <c r="AQ138" s="120">
        <f t="shared" si="114"/>
        <v>0</v>
      </c>
      <c r="AR138" s="120">
        <f t="shared" si="114"/>
        <v>1</v>
      </c>
      <c r="AS138" s="120">
        <f t="shared" si="114"/>
        <v>1</v>
      </c>
      <c r="AT138" s="120">
        <f t="shared" si="114"/>
        <v>0.33333333333333331</v>
      </c>
      <c r="AU138" s="120">
        <f t="shared" si="114"/>
        <v>1</v>
      </c>
      <c r="AV138" s="120">
        <f t="shared" si="114"/>
        <v>0</v>
      </c>
      <c r="AW138" s="120">
        <f t="shared" si="114"/>
        <v>1</v>
      </c>
      <c r="AX138" s="120">
        <f t="shared" si="114"/>
        <v>0</v>
      </c>
      <c r="AY138" s="120">
        <f t="shared" si="115"/>
        <v>11.833333333333334</v>
      </c>
      <c r="AZ138" s="20" t="s">
        <v>136</v>
      </c>
    </row>
    <row r="139" spans="1:52">
      <c r="A139" s="120" t="s">
        <v>147</v>
      </c>
      <c r="B139" s="120">
        <f t="shared" si="116"/>
        <v>0</v>
      </c>
      <c r="C139" s="120">
        <f t="shared" si="116"/>
        <v>1</v>
      </c>
      <c r="D139" s="120">
        <f t="shared" si="116"/>
        <v>0</v>
      </c>
      <c r="E139" s="120">
        <f t="shared" si="116"/>
        <v>1</v>
      </c>
      <c r="F139" s="120">
        <f t="shared" si="116"/>
        <v>1</v>
      </c>
      <c r="G139" s="120">
        <f t="shared" si="116"/>
        <v>1</v>
      </c>
      <c r="H139" s="120">
        <f t="shared" si="116"/>
        <v>0</v>
      </c>
      <c r="I139" s="120">
        <f t="shared" si="116"/>
        <v>0</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0</v>
      </c>
      <c r="T139" s="120">
        <f t="shared" si="116"/>
        <v>1</v>
      </c>
      <c r="U139" s="120">
        <f t="shared" si="116"/>
        <v>1</v>
      </c>
      <c r="V139" s="120">
        <f t="shared" si="116"/>
        <v>0</v>
      </c>
      <c r="W139" s="120">
        <f t="shared" si="116"/>
        <v>0</v>
      </c>
      <c r="X139" s="120">
        <f t="shared" si="116"/>
        <v>1</v>
      </c>
      <c r="Y139" s="120">
        <f t="shared" si="113"/>
        <v>1</v>
      </c>
      <c r="AA139" s="120">
        <f t="shared" si="114"/>
        <v>0</v>
      </c>
      <c r="AB139" s="120">
        <f t="shared" si="114"/>
        <v>1</v>
      </c>
      <c r="AC139" s="120">
        <f t="shared" si="114"/>
        <v>0</v>
      </c>
      <c r="AD139" s="120">
        <f t="shared" si="114"/>
        <v>1</v>
      </c>
      <c r="AE139" s="120">
        <f t="shared" si="114"/>
        <v>0.5</v>
      </c>
      <c r="AF139" s="120">
        <f t="shared" si="114"/>
        <v>1</v>
      </c>
      <c r="AG139" s="120">
        <f t="shared" si="114"/>
        <v>0</v>
      </c>
      <c r="AH139" s="120">
        <f t="shared" si="114"/>
        <v>0</v>
      </c>
      <c r="AI139" s="120">
        <f t="shared" si="114"/>
        <v>1</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v>
      </c>
      <c r="AS139" s="120">
        <f t="shared" si="114"/>
        <v>1</v>
      </c>
      <c r="AT139" s="120">
        <f t="shared" si="114"/>
        <v>1</v>
      </c>
      <c r="AU139" s="120">
        <f t="shared" si="114"/>
        <v>0</v>
      </c>
      <c r="AV139" s="120">
        <f t="shared" si="114"/>
        <v>0</v>
      </c>
      <c r="AW139" s="120">
        <f t="shared" si="114"/>
        <v>1</v>
      </c>
      <c r="AX139" s="120">
        <f t="shared" si="114"/>
        <v>1</v>
      </c>
      <c r="AY139" s="120">
        <f t="shared" si="115"/>
        <v>8.5</v>
      </c>
      <c r="AZ139" s="20" t="s">
        <v>136</v>
      </c>
    </row>
    <row r="140" spans="1:52">
      <c r="A140" s="120" t="s">
        <v>148</v>
      </c>
      <c r="B140" s="120">
        <f t="shared" si="116"/>
        <v>1</v>
      </c>
      <c r="C140" s="120">
        <f t="shared" si="116"/>
        <v>1</v>
      </c>
      <c r="D140" s="120">
        <f t="shared" si="116"/>
        <v>1</v>
      </c>
      <c r="E140" s="120">
        <f t="shared" si="116"/>
        <v>0</v>
      </c>
      <c r="F140" s="120">
        <f t="shared" si="116"/>
        <v>0</v>
      </c>
      <c r="G140" s="120">
        <f t="shared" si="116"/>
        <v>0</v>
      </c>
      <c r="H140" s="120">
        <f t="shared" si="116"/>
        <v>0</v>
      </c>
      <c r="I140" s="120">
        <f t="shared" si="116"/>
        <v>1</v>
      </c>
      <c r="J140" s="120">
        <f t="shared" si="116"/>
        <v>1</v>
      </c>
      <c r="K140" s="120">
        <f t="shared" si="116"/>
        <v>1</v>
      </c>
      <c r="L140" s="120">
        <f t="shared" si="116"/>
        <v>1</v>
      </c>
      <c r="M140" s="120">
        <f t="shared" si="116"/>
        <v>0</v>
      </c>
      <c r="N140" s="120">
        <f t="shared" si="116"/>
        <v>0</v>
      </c>
      <c r="O140" s="120">
        <f t="shared" si="116"/>
        <v>0</v>
      </c>
      <c r="P140" s="120">
        <f t="shared" si="116"/>
        <v>0</v>
      </c>
      <c r="Q140" s="120">
        <f t="shared" si="116"/>
        <v>0</v>
      </c>
      <c r="R140" s="120">
        <f t="shared" si="116"/>
        <v>0</v>
      </c>
      <c r="S140" s="120">
        <f t="shared" si="116"/>
        <v>0</v>
      </c>
      <c r="T140" s="120">
        <f t="shared" si="116"/>
        <v>0</v>
      </c>
      <c r="U140" s="120">
        <f t="shared" si="116"/>
        <v>1</v>
      </c>
      <c r="V140" s="120">
        <f t="shared" si="116"/>
        <v>0</v>
      </c>
      <c r="W140" s="120">
        <f t="shared" si="116"/>
        <v>1</v>
      </c>
      <c r="X140" s="120">
        <f t="shared" si="116"/>
        <v>1</v>
      </c>
      <c r="Y140" s="120">
        <f t="shared" si="113"/>
        <v>1</v>
      </c>
      <c r="AA140" s="120">
        <f t="shared" si="114"/>
        <v>1</v>
      </c>
      <c r="AB140" s="120">
        <f t="shared" si="114"/>
        <v>1</v>
      </c>
      <c r="AC140" s="120">
        <f t="shared" si="114"/>
        <v>1</v>
      </c>
      <c r="AD140" s="120">
        <f t="shared" si="114"/>
        <v>0</v>
      </c>
      <c r="AE140" s="120">
        <f t="shared" si="114"/>
        <v>0</v>
      </c>
      <c r="AF140" s="120">
        <f t="shared" si="114"/>
        <v>0</v>
      </c>
      <c r="AG140" s="120">
        <f t="shared" si="114"/>
        <v>0</v>
      </c>
      <c r="AH140" s="120">
        <f t="shared" si="114"/>
        <v>1</v>
      </c>
      <c r="AI140" s="120">
        <f t="shared" si="114"/>
        <v>1</v>
      </c>
      <c r="AJ140" s="120">
        <f t="shared" si="114"/>
        <v>1</v>
      </c>
      <c r="AK140" s="120">
        <f t="shared" si="114"/>
        <v>1</v>
      </c>
      <c r="AL140" s="120">
        <f t="shared" si="114"/>
        <v>0</v>
      </c>
      <c r="AM140" s="120">
        <f t="shared" si="114"/>
        <v>0</v>
      </c>
      <c r="AN140" s="120">
        <f t="shared" si="114"/>
        <v>0</v>
      </c>
      <c r="AO140" s="120">
        <f t="shared" si="114"/>
        <v>0</v>
      </c>
      <c r="AP140" s="120">
        <f t="shared" si="114"/>
        <v>0</v>
      </c>
      <c r="AQ140" s="120">
        <f t="shared" si="114"/>
        <v>0</v>
      </c>
      <c r="AR140" s="120">
        <f t="shared" si="114"/>
        <v>0</v>
      </c>
      <c r="AS140" s="120">
        <f t="shared" si="114"/>
        <v>0</v>
      </c>
      <c r="AT140" s="120">
        <f t="shared" si="114"/>
        <v>0.5</v>
      </c>
      <c r="AU140" s="120">
        <f t="shared" si="114"/>
        <v>0</v>
      </c>
      <c r="AV140" s="120">
        <f t="shared" si="114"/>
        <v>1</v>
      </c>
      <c r="AW140" s="120">
        <f t="shared" si="114"/>
        <v>1</v>
      </c>
      <c r="AX140" s="120">
        <f t="shared" si="114"/>
        <v>1</v>
      </c>
      <c r="AY140" s="120">
        <f t="shared" si="115"/>
        <v>10.5</v>
      </c>
      <c r="AZ140" s="20" t="s">
        <v>136</v>
      </c>
    </row>
    <row r="141" spans="1:52">
      <c r="A141" s="120" t="s">
        <v>149</v>
      </c>
      <c r="B141" s="120">
        <f t="shared" si="116"/>
        <v>0</v>
      </c>
      <c r="C141" s="120">
        <f t="shared" si="116"/>
        <v>1</v>
      </c>
      <c r="D141" s="120">
        <f t="shared" si="116"/>
        <v>1</v>
      </c>
      <c r="E141" s="120">
        <f t="shared" si="116"/>
        <v>1</v>
      </c>
      <c r="F141" s="120">
        <f t="shared" si="116"/>
        <v>1</v>
      </c>
      <c r="G141" s="120">
        <f t="shared" si="116"/>
        <v>0</v>
      </c>
      <c r="H141" s="120">
        <f t="shared" si="116"/>
        <v>1</v>
      </c>
      <c r="I141" s="120">
        <f t="shared" si="116"/>
        <v>1</v>
      </c>
      <c r="J141" s="120">
        <f t="shared" si="116"/>
        <v>1</v>
      </c>
      <c r="K141" s="120">
        <f t="shared" si="116"/>
        <v>1</v>
      </c>
      <c r="L141" s="120">
        <f t="shared" si="116"/>
        <v>0</v>
      </c>
      <c r="M141" s="120">
        <f t="shared" si="116"/>
        <v>0</v>
      </c>
      <c r="N141" s="120">
        <f t="shared" si="116"/>
        <v>0</v>
      </c>
      <c r="O141" s="120">
        <f t="shared" si="116"/>
        <v>0</v>
      </c>
      <c r="P141" s="120">
        <f t="shared" si="116"/>
        <v>0</v>
      </c>
      <c r="Q141" s="120">
        <f t="shared" si="116"/>
        <v>1</v>
      </c>
      <c r="R141" s="120">
        <f t="shared" si="116"/>
        <v>0</v>
      </c>
      <c r="S141" s="120">
        <f t="shared" si="116"/>
        <v>1</v>
      </c>
      <c r="T141" s="120">
        <f t="shared" si="116"/>
        <v>1</v>
      </c>
      <c r="U141" s="120">
        <f t="shared" si="116"/>
        <v>0</v>
      </c>
      <c r="V141" s="120">
        <f t="shared" si="116"/>
        <v>1</v>
      </c>
      <c r="W141" s="120">
        <f t="shared" si="116"/>
        <v>0</v>
      </c>
      <c r="X141" s="120">
        <f t="shared" si="116"/>
        <v>1</v>
      </c>
      <c r="Y141" s="120">
        <f t="shared" si="113"/>
        <v>0</v>
      </c>
      <c r="AA141" s="120">
        <f t="shared" si="114"/>
        <v>0</v>
      </c>
      <c r="AB141" s="120">
        <f t="shared" si="114"/>
        <v>1</v>
      </c>
      <c r="AC141" s="120">
        <f t="shared" si="114"/>
        <v>1</v>
      </c>
      <c r="AD141" s="120">
        <f t="shared" si="114"/>
        <v>1</v>
      </c>
      <c r="AE141" s="120">
        <f t="shared" si="114"/>
        <v>0.5</v>
      </c>
      <c r="AF141" s="120">
        <f t="shared" si="114"/>
        <v>0</v>
      </c>
      <c r="AG141" s="120">
        <f t="shared" si="114"/>
        <v>1</v>
      </c>
      <c r="AH141" s="120">
        <f t="shared" si="114"/>
        <v>1</v>
      </c>
      <c r="AI141" s="120">
        <f t="shared" si="114"/>
        <v>1</v>
      </c>
      <c r="AJ141" s="120">
        <f t="shared" si="114"/>
        <v>1</v>
      </c>
      <c r="AK141" s="120">
        <f t="shared" si="114"/>
        <v>0</v>
      </c>
      <c r="AL141" s="120">
        <f t="shared" si="114"/>
        <v>0</v>
      </c>
      <c r="AM141" s="120">
        <f t="shared" si="114"/>
        <v>0</v>
      </c>
      <c r="AN141" s="120">
        <f t="shared" si="114"/>
        <v>0</v>
      </c>
      <c r="AO141" s="120">
        <f t="shared" si="114"/>
        <v>0</v>
      </c>
      <c r="AP141" s="120">
        <f t="shared" si="114"/>
        <v>1</v>
      </c>
      <c r="AQ141" s="120">
        <f t="shared" si="114"/>
        <v>0</v>
      </c>
      <c r="AR141" s="120">
        <f t="shared" si="114"/>
        <v>1</v>
      </c>
      <c r="AS141" s="120">
        <f t="shared" si="114"/>
        <v>1</v>
      </c>
      <c r="AT141" s="120">
        <f t="shared" si="114"/>
        <v>0</v>
      </c>
      <c r="AU141" s="120">
        <f t="shared" si="114"/>
        <v>1</v>
      </c>
      <c r="AV141" s="120">
        <f t="shared" si="114"/>
        <v>0</v>
      </c>
      <c r="AW141" s="120">
        <f t="shared" si="114"/>
        <v>1</v>
      </c>
      <c r="AX141" s="120">
        <f t="shared" si="114"/>
        <v>0</v>
      </c>
      <c r="AY141" s="120">
        <f t="shared" si="115"/>
        <v>12.5</v>
      </c>
      <c r="AZ141" s="20" t="s">
        <v>136</v>
      </c>
    </row>
    <row r="142" spans="1:52">
      <c r="A142" s="120" t="s">
        <v>150</v>
      </c>
      <c r="B142" s="120">
        <f t="shared" si="116"/>
        <v>0</v>
      </c>
      <c r="C142" s="120">
        <f t="shared" si="116"/>
        <v>0</v>
      </c>
      <c r="D142" s="120">
        <f t="shared" si="116"/>
        <v>1</v>
      </c>
      <c r="E142" s="120">
        <f t="shared" si="116"/>
        <v>0</v>
      </c>
      <c r="F142" s="120">
        <f t="shared" si="116"/>
        <v>1</v>
      </c>
      <c r="G142" s="120">
        <f t="shared" si="116"/>
        <v>0</v>
      </c>
      <c r="H142" s="120">
        <f t="shared" si="116"/>
        <v>1</v>
      </c>
      <c r="I142" s="120">
        <f t="shared" si="116"/>
        <v>1</v>
      </c>
      <c r="J142" s="120">
        <f t="shared" si="116"/>
        <v>1</v>
      </c>
      <c r="K142" s="120">
        <f t="shared" si="116"/>
        <v>1</v>
      </c>
      <c r="L142" s="120">
        <f t="shared" si="116"/>
        <v>0</v>
      </c>
      <c r="M142" s="120">
        <f t="shared" si="116"/>
        <v>0</v>
      </c>
      <c r="N142" s="120">
        <f t="shared" si="116"/>
        <v>0</v>
      </c>
      <c r="O142" s="120">
        <f t="shared" si="116"/>
        <v>0</v>
      </c>
      <c r="P142" s="120">
        <f t="shared" si="116"/>
        <v>0</v>
      </c>
      <c r="Q142" s="120">
        <f t="shared" si="116"/>
        <v>0</v>
      </c>
      <c r="R142" s="120">
        <f t="shared" si="116"/>
        <v>1</v>
      </c>
      <c r="S142" s="120">
        <f t="shared" si="116"/>
        <v>0</v>
      </c>
      <c r="T142" s="120">
        <f t="shared" si="116"/>
        <v>0</v>
      </c>
      <c r="U142" s="120">
        <f t="shared" si="116"/>
        <v>0</v>
      </c>
      <c r="V142" s="120">
        <f t="shared" si="116"/>
        <v>1</v>
      </c>
      <c r="W142" s="120">
        <f t="shared" si="116"/>
        <v>0</v>
      </c>
      <c r="X142" s="120">
        <f t="shared" si="116"/>
        <v>0</v>
      </c>
      <c r="Y142" s="120">
        <f t="shared" si="113"/>
        <v>1</v>
      </c>
      <c r="AA142" s="120">
        <f t="shared" si="114"/>
        <v>0</v>
      </c>
      <c r="AB142" s="120">
        <f t="shared" si="114"/>
        <v>0</v>
      </c>
      <c r="AC142" s="120">
        <f t="shared" si="114"/>
        <v>1</v>
      </c>
      <c r="AD142" s="120">
        <f t="shared" si="114"/>
        <v>0</v>
      </c>
      <c r="AE142" s="120">
        <f t="shared" si="114"/>
        <v>1</v>
      </c>
      <c r="AF142" s="120">
        <f t="shared" si="114"/>
        <v>0</v>
      </c>
      <c r="AG142" s="120">
        <f t="shared" si="114"/>
        <v>0.5</v>
      </c>
      <c r="AH142" s="120">
        <f t="shared" si="114"/>
        <v>1</v>
      </c>
      <c r="AI142" s="120">
        <f t="shared" si="114"/>
        <v>1</v>
      </c>
      <c r="AJ142" s="120">
        <f t="shared" si="114"/>
        <v>1</v>
      </c>
      <c r="AK142" s="120">
        <f t="shared" si="114"/>
        <v>0</v>
      </c>
      <c r="AL142" s="120">
        <f t="shared" si="114"/>
        <v>0</v>
      </c>
      <c r="AM142" s="120">
        <f t="shared" si="114"/>
        <v>0</v>
      </c>
      <c r="AN142" s="120">
        <f t="shared" si="114"/>
        <v>0</v>
      </c>
      <c r="AO142" s="120">
        <f t="shared" si="114"/>
        <v>0</v>
      </c>
      <c r="AP142" s="120">
        <f t="shared" si="114"/>
        <v>0</v>
      </c>
      <c r="AQ142" s="120">
        <f t="shared" si="114"/>
        <v>1</v>
      </c>
      <c r="AR142" s="120">
        <f t="shared" si="114"/>
        <v>0</v>
      </c>
      <c r="AS142" s="120">
        <f t="shared" si="114"/>
        <v>0</v>
      </c>
      <c r="AT142" s="120">
        <f t="shared" si="114"/>
        <v>0</v>
      </c>
      <c r="AU142" s="120">
        <f t="shared" si="114"/>
        <v>1</v>
      </c>
      <c r="AV142" s="120">
        <f t="shared" si="114"/>
        <v>0</v>
      </c>
      <c r="AW142" s="120">
        <f t="shared" si="114"/>
        <v>0</v>
      </c>
      <c r="AX142" s="120">
        <f t="shared" si="114"/>
        <v>1</v>
      </c>
      <c r="AY142" s="120">
        <f t="shared" si="115"/>
        <v>8.5</v>
      </c>
      <c r="AZ142" s="20" t="s">
        <v>136</v>
      </c>
    </row>
    <row r="143" spans="1:52">
      <c r="A143" s="120" t="s">
        <v>151</v>
      </c>
      <c r="B143" s="120">
        <f t="shared" si="116"/>
        <v>1</v>
      </c>
      <c r="C143" s="120">
        <f t="shared" si="116"/>
        <v>1</v>
      </c>
      <c r="D143" s="120">
        <f t="shared" si="116"/>
        <v>1</v>
      </c>
      <c r="E143" s="120">
        <f t="shared" si="116"/>
        <v>1</v>
      </c>
      <c r="F143" s="120">
        <f t="shared" si="116"/>
        <v>1</v>
      </c>
      <c r="G143" s="120">
        <f t="shared" si="116"/>
        <v>1</v>
      </c>
      <c r="H143" s="120">
        <f t="shared" si="116"/>
        <v>0</v>
      </c>
      <c r="I143" s="120">
        <f t="shared" si="116"/>
        <v>0</v>
      </c>
      <c r="J143" s="120">
        <f t="shared" si="116"/>
        <v>0</v>
      </c>
      <c r="K143" s="120">
        <f t="shared" si="116"/>
        <v>0</v>
      </c>
      <c r="L143" s="120">
        <f t="shared" si="116"/>
        <v>0</v>
      </c>
      <c r="M143" s="120">
        <f t="shared" si="116"/>
        <v>0</v>
      </c>
      <c r="N143" s="120">
        <f t="shared" si="116"/>
        <v>0</v>
      </c>
      <c r="O143" s="120">
        <f t="shared" si="116"/>
        <v>0</v>
      </c>
      <c r="P143" s="120">
        <f t="shared" si="116"/>
        <v>0</v>
      </c>
      <c r="Q143" s="120">
        <f t="shared" si="116"/>
        <v>0</v>
      </c>
      <c r="R143" s="120">
        <f t="shared" si="116"/>
        <v>0</v>
      </c>
      <c r="S143" s="120">
        <f t="shared" si="116"/>
        <v>0</v>
      </c>
      <c r="T143" s="120">
        <f t="shared" si="116"/>
        <v>0</v>
      </c>
      <c r="U143" s="120">
        <f t="shared" si="116"/>
        <v>1</v>
      </c>
      <c r="V143" s="120">
        <f t="shared" si="116"/>
        <v>0</v>
      </c>
      <c r="W143" s="120">
        <f t="shared" si="116"/>
        <v>1</v>
      </c>
      <c r="X143" s="120">
        <f t="shared" si="116"/>
        <v>1</v>
      </c>
      <c r="Y143" s="120">
        <f t="shared" si="113"/>
        <v>1</v>
      </c>
      <c r="AA143" s="120">
        <f t="shared" si="114"/>
        <v>1</v>
      </c>
      <c r="AB143" s="120">
        <f t="shared" si="114"/>
        <v>1</v>
      </c>
      <c r="AC143" s="120">
        <f t="shared" si="114"/>
        <v>1</v>
      </c>
      <c r="AD143" s="120">
        <f t="shared" si="114"/>
        <v>1</v>
      </c>
      <c r="AE143" s="120">
        <f t="shared" si="114"/>
        <v>1</v>
      </c>
      <c r="AF143" s="120">
        <f t="shared" si="114"/>
        <v>1</v>
      </c>
      <c r="AG143" s="120">
        <f t="shared" si="114"/>
        <v>0</v>
      </c>
      <c r="AH143" s="120">
        <f t="shared" si="114"/>
        <v>0</v>
      </c>
      <c r="AI143" s="120">
        <f t="shared" si="114"/>
        <v>0</v>
      </c>
      <c r="AJ143" s="120">
        <f t="shared" si="114"/>
        <v>0</v>
      </c>
      <c r="AK143" s="120">
        <f t="shared" si="114"/>
        <v>0</v>
      </c>
      <c r="AL143" s="120">
        <f t="shared" si="114"/>
        <v>0</v>
      </c>
      <c r="AM143" s="120">
        <f t="shared" si="114"/>
        <v>0</v>
      </c>
      <c r="AN143" s="120">
        <f t="shared" si="114"/>
        <v>0</v>
      </c>
      <c r="AO143" s="120">
        <f t="shared" si="114"/>
        <v>0</v>
      </c>
      <c r="AP143" s="120">
        <f t="shared" si="114"/>
        <v>0</v>
      </c>
      <c r="AQ143" s="120">
        <f t="shared" si="114"/>
        <v>0</v>
      </c>
      <c r="AR143" s="120">
        <f t="shared" si="114"/>
        <v>0</v>
      </c>
      <c r="AS143" s="120">
        <f t="shared" si="114"/>
        <v>0</v>
      </c>
      <c r="AT143" s="120">
        <f t="shared" si="114"/>
        <v>1</v>
      </c>
      <c r="AU143" s="120">
        <f t="shared" si="114"/>
        <v>0</v>
      </c>
      <c r="AV143" s="120">
        <f t="shared" si="114"/>
        <v>1</v>
      </c>
      <c r="AW143" s="120">
        <f t="shared" si="114"/>
        <v>1</v>
      </c>
      <c r="AX143" s="120">
        <f t="shared" si="114"/>
        <v>1</v>
      </c>
      <c r="AY143" s="120">
        <f t="shared" si="115"/>
        <v>10</v>
      </c>
      <c r="AZ143" s="20" t="s">
        <v>136</v>
      </c>
    </row>
    <row r="144" spans="1:52">
      <c r="A144" s="120" t="s">
        <v>152</v>
      </c>
      <c r="B144" s="120">
        <f t="shared" si="116"/>
        <v>1</v>
      </c>
      <c r="C144" s="120">
        <f t="shared" si="116"/>
        <v>1</v>
      </c>
      <c r="D144" s="120">
        <f t="shared" si="116"/>
        <v>1</v>
      </c>
      <c r="E144" s="120">
        <f t="shared" si="116"/>
        <v>0</v>
      </c>
      <c r="F144" s="120">
        <f t="shared" si="116"/>
        <v>1</v>
      </c>
      <c r="G144" s="120">
        <f t="shared" si="116"/>
        <v>1</v>
      </c>
      <c r="H144" s="120">
        <f t="shared" si="116"/>
        <v>1</v>
      </c>
      <c r="I144" s="120">
        <f t="shared" si="116"/>
        <v>0</v>
      </c>
      <c r="J144" s="120">
        <f t="shared" si="116"/>
        <v>1</v>
      </c>
      <c r="K144" s="120">
        <f t="shared" si="116"/>
        <v>0</v>
      </c>
      <c r="L144" s="120">
        <f t="shared" si="116"/>
        <v>0</v>
      </c>
      <c r="M144" s="120">
        <f t="shared" si="116"/>
        <v>0</v>
      </c>
      <c r="N144" s="120">
        <f t="shared" si="116"/>
        <v>1</v>
      </c>
      <c r="O144" s="120">
        <f t="shared" si="116"/>
        <v>0</v>
      </c>
      <c r="P144" s="120">
        <f t="shared" si="116"/>
        <v>0</v>
      </c>
      <c r="Q144" s="120">
        <f t="shared" si="116"/>
        <v>0</v>
      </c>
      <c r="R144" s="120">
        <f t="shared" si="116"/>
        <v>0</v>
      </c>
      <c r="S144" s="120">
        <f t="shared" si="116"/>
        <v>0</v>
      </c>
      <c r="T144" s="120">
        <f t="shared" si="116"/>
        <v>0</v>
      </c>
      <c r="U144" s="120">
        <f t="shared" si="116"/>
        <v>0</v>
      </c>
      <c r="V144" s="120">
        <f t="shared" si="116"/>
        <v>1</v>
      </c>
      <c r="W144" s="120">
        <f t="shared" si="116"/>
        <v>0</v>
      </c>
      <c r="X144" s="120">
        <f t="shared" si="116"/>
        <v>1</v>
      </c>
      <c r="Y144" s="120">
        <f t="shared" si="113"/>
        <v>1</v>
      </c>
      <c r="AA144" s="120">
        <f t="shared" si="114"/>
        <v>1</v>
      </c>
      <c r="AB144" s="120">
        <f t="shared" si="114"/>
        <v>1</v>
      </c>
      <c r="AC144" s="120">
        <f t="shared" si="114"/>
        <v>1</v>
      </c>
      <c r="AD144" s="120">
        <f t="shared" si="114"/>
        <v>0</v>
      </c>
      <c r="AE144" s="120">
        <f t="shared" si="114"/>
        <v>1</v>
      </c>
      <c r="AF144" s="120">
        <f t="shared" si="114"/>
        <v>1</v>
      </c>
      <c r="AG144" s="120">
        <f t="shared" si="114"/>
        <v>1</v>
      </c>
      <c r="AH144" s="120">
        <f t="shared" si="114"/>
        <v>0</v>
      </c>
      <c r="AI144" s="120">
        <f t="shared" si="114"/>
        <v>1</v>
      </c>
      <c r="AJ144" s="120">
        <f t="shared" si="114"/>
        <v>0</v>
      </c>
      <c r="AK144" s="120">
        <f t="shared" si="114"/>
        <v>0</v>
      </c>
      <c r="AL144" s="120">
        <f t="shared" si="114"/>
        <v>0</v>
      </c>
      <c r="AM144" s="120">
        <f t="shared" si="114"/>
        <v>0.5</v>
      </c>
      <c r="AN144" s="120">
        <f t="shared" si="114"/>
        <v>0</v>
      </c>
      <c r="AO144" s="120">
        <f t="shared" si="114"/>
        <v>0</v>
      </c>
      <c r="AP144" s="120">
        <f t="shared" si="114"/>
        <v>0</v>
      </c>
      <c r="AQ144" s="120">
        <f t="shared" si="114"/>
        <v>0</v>
      </c>
      <c r="AR144" s="120">
        <f t="shared" si="114"/>
        <v>0</v>
      </c>
      <c r="AS144" s="120">
        <f t="shared" si="114"/>
        <v>0</v>
      </c>
      <c r="AT144" s="120">
        <f t="shared" si="114"/>
        <v>0</v>
      </c>
      <c r="AU144" s="120">
        <f t="shared" si="114"/>
        <v>1</v>
      </c>
      <c r="AV144" s="120">
        <f t="shared" si="114"/>
        <v>0</v>
      </c>
      <c r="AW144" s="120">
        <f t="shared" si="114"/>
        <v>1</v>
      </c>
      <c r="AX144" s="120">
        <f t="shared" si="114"/>
        <v>1</v>
      </c>
      <c r="AY144" s="120">
        <f t="shared" si="115"/>
        <v>10.5</v>
      </c>
      <c r="AZ144" s="20" t="s">
        <v>136</v>
      </c>
    </row>
    <row r="145" spans="1:52">
      <c r="A145" s="120" t="s">
        <v>153</v>
      </c>
      <c r="B145" s="120">
        <f t="shared" si="116"/>
        <v>1</v>
      </c>
      <c r="C145" s="120">
        <f t="shared" si="116"/>
        <v>1</v>
      </c>
      <c r="D145" s="120">
        <f t="shared" si="116"/>
        <v>0</v>
      </c>
      <c r="E145" s="120">
        <f t="shared" si="116"/>
        <v>0</v>
      </c>
      <c r="F145" s="120">
        <f t="shared" si="116"/>
        <v>0</v>
      </c>
      <c r="G145" s="120">
        <f t="shared" si="116"/>
        <v>1</v>
      </c>
      <c r="H145" s="120">
        <f t="shared" si="116"/>
        <v>1</v>
      </c>
      <c r="I145" s="120">
        <f t="shared" si="116"/>
        <v>0</v>
      </c>
      <c r="J145" s="120">
        <f t="shared" si="116"/>
        <v>0</v>
      </c>
      <c r="K145" s="120">
        <f t="shared" si="116"/>
        <v>0</v>
      </c>
      <c r="L145" s="120">
        <f t="shared" si="116"/>
        <v>0</v>
      </c>
      <c r="M145" s="120">
        <f t="shared" si="116"/>
        <v>0</v>
      </c>
      <c r="N145" s="120">
        <f t="shared" si="116"/>
        <v>0</v>
      </c>
      <c r="O145" s="120">
        <f t="shared" si="116"/>
        <v>0</v>
      </c>
      <c r="P145" s="120">
        <f t="shared" si="116"/>
        <v>0</v>
      </c>
      <c r="Q145" s="120">
        <f t="shared" si="116"/>
        <v>0</v>
      </c>
      <c r="R145" s="120">
        <f t="shared" si="116"/>
        <v>0</v>
      </c>
      <c r="S145" s="120">
        <f t="shared" si="116"/>
        <v>0</v>
      </c>
      <c r="T145" s="120">
        <f t="shared" si="116"/>
        <v>0</v>
      </c>
      <c r="U145" s="120">
        <f t="shared" si="116"/>
        <v>0</v>
      </c>
      <c r="V145" s="120">
        <f t="shared" si="116"/>
        <v>1</v>
      </c>
      <c r="W145" s="120">
        <f t="shared" si="116"/>
        <v>0</v>
      </c>
      <c r="X145" s="120">
        <f t="shared" si="116"/>
        <v>0</v>
      </c>
      <c r="Y145" s="120">
        <f t="shared" si="113"/>
        <v>0</v>
      </c>
      <c r="AA145" s="120">
        <f t="shared" si="114"/>
        <v>1</v>
      </c>
      <c r="AB145" s="120">
        <f t="shared" si="114"/>
        <v>1</v>
      </c>
      <c r="AC145" s="120">
        <f t="shared" si="114"/>
        <v>0</v>
      </c>
      <c r="AD145" s="120">
        <f t="shared" si="114"/>
        <v>0</v>
      </c>
      <c r="AE145" s="120">
        <f t="shared" si="114"/>
        <v>0</v>
      </c>
      <c r="AF145" s="120">
        <f t="shared" si="114"/>
        <v>1</v>
      </c>
      <c r="AG145" s="120">
        <f t="shared" si="114"/>
        <v>1</v>
      </c>
      <c r="AH145" s="120">
        <f t="shared" si="114"/>
        <v>0</v>
      </c>
      <c r="AI145" s="120">
        <f t="shared" si="114"/>
        <v>0</v>
      </c>
      <c r="AJ145" s="120">
        <f t="shared" si="114"/>
        <v>0</v>
      </c>
      <c r="AK145" s="120">
        <f t="shared" si="114"/>
        <v>0</v>
      </c>
      <c r="AL145" s="120">
        <f t="shared" si="114"/>
        <v>0</v>
      </c>
      <c r="AM145" s="120">
        <f t="shared" si="114"/>
        <v>0</v>
      </c>
      <c r="AN145" s="120">
        <f t="shared" si="114"/>
        <v>0</v>
      </c>
      <c r="AO145" s="120">
        <f t="shared" si="114"/>
        <v>0</v>
      </c>
      <c r="AP145" s="120">
        <f t="shared" si="114"/>
        <v>0</v>
      </c>
      <c r="AQ145" s="120">
        <f t="shared" si="114"/>
        <v>0</v>
      </c>
      <c r="AR145" s="120">
        <f t="shared" si="114"/>
        <v>0</v>
      </c>
      <c r="AS145" s="120">
        <f t="shared" si="114"/>
        <v>0</v>
      </c>
      <c r="AT145" s="120">
        <f t="shared" si="114"/>
        <v>0</v>
      </c>
      <c r="AU145" s="120">
        <f t="shared" si="114"/>
        <v>1</v>
      </c>
      <c r="AV145" s="120">
        <f t="shared" si="114"/>
        <v>0</v>
      </c>
      <c r="AW145" s="120">
        <f t="shared" si="114"/>
        <v>0</v>
      </c>
      <c r="AX145" s="120">
        <f t="shared" si="114"/>
        <v>0</v>
      </c>
      <c r="AY145" s="120">
        <f t="shared" si="115"/>
        <v>5</v>
      </c>
      <c r="AZ145" s="20" t="s">
        <v>136</v>
      </c>
    </row>
    <row r="146" spans="1:52">
      <c r="A146" s="120" t="s">
        <v>154</v>
      </c>
      <c r="B146" s="120">
        <f t="shared" si="116"/>
        <v>0</v>
      </c>
      <c r="C146" s="120">
        <f t="shared" si="116"/>
        <v>1</v>
      </c>
      <c r="D146" s="120">
        <f t="shared" si="116"/>
        <v>1</v>
      </c>
      <c r="E146" s="120">
        <f t="shared" si="116"/>
        <v>1</v>
      </c>
      <c r="F146" s="120">
        <f t="shared" si="116"/>
        <v>1</v>
      </c>
      <c r="G146" s="120">
        <f t="shared" si="116"/>
        <v>1</v>
      </c>
      <c r="H146" s="120">
        <f t="shared" si="116"/>
        <v>1</v>
      </c>
      <c r="I146" s="120">
        <f t="shared" si="116"/>
        <v>1</v>
      </c>
      <c r="J146" s="120">
        <f t="shared" si="116"/>
        <v>1</v>
      </c>
      <c r="K146" s="120">
        <f t="shared" si="116"/>
        <v>1</v>
      </c>
      <c r="L146" s="120">
        <f t="shared" si="116"/>
        <v>0</v>
      </c>
      <c r="M146" s="120">
        <f t="shared" si="116"/>
        <v>0</v>
      </c>
      <c r="N146" s="120">
        <f t="shared" si="116"/>
        <v>0</v>
      </c>
      <c r="O146" s="120">
        <f t="shared" si="116"/>
        <v>1</v>
      </c>
      <c r="P146" s="120">
        <f t="shared" si="116"/>
        <v>0</v>
      </c>
      <c r="Q146" s="120">
        <f t="shared" si="116"/>
        <v>0</v>
      </c>
      <c r="R146" s="120">
        <f t="shared" si="116"/>
        <v>0</v>
      </c>
      <c r="S146" s="120">
        <f t="shared" si="116"/>
        <v>0</v>
      </c>
      <c r="T146" s="120">
        <f t="shared" si="116"/>
        <v>0</v>
      </c>
      <c r="U146" s="120">
        <f t="shared" si="116"/>
        <v>1</v>
      </c>
      <c r="V146" s="120">
        <f t="shared" si="116"/>
        <v>1</v>
      </c>
      <c r="W146" s="120">
        <f t="shared" si="116"/>
        <v>1</v>
      </c>
      <c r="X146" s="120">
        <f t="shared" si="116"/>
        <v>0</v>
      </c>
      <c r="Y146" s="120">
        <f t="shared" si="113"/>
        <v>1</v>
      </c>
      <c r="AA146" s="120">
        <f t="shared" si="114"/>
        <v>0</v>
      </c>
      <c r="AB146" s="120">
        <f t="shared" si="114"/>
        <v>1</v>
      </c>
      <c r="AC146" s="120">
        <f t="shared" si="114"/>
        <v>0.5</v>
      </c>
      <c r="AD146" s="120">
        <f t="shared" si="114"/>
        <v>1</v>
      </c>
      <c r="AE146" s="120">
        <f t="shared" si="114"/>
        <v>1</v>
      </c>
      <c r="AF146" s="120">
        <f t="shared" si="114"/>
        <v>0.5</v>
      </c>
      <c r="AG146" s="120">
        <f t="shared" si="114"/>
        <v>1</v>
      </c>
      <c r="AH146" s="120">
        <f t="shared" si="114"/>
        <v>1</v>
      </c>
      <c r="AI146" s="120">
        <f t="shared" si="114"/>
        <v>1</v>
      </c>
      <c r="AJ146" s="120">
        <f t="shared" si="114"/>
        <v>0.33333333333333331</v>
      </c>
      <c r="AK146" s="120">
        <f t="shared" si="114"/>
        <v>0</v>
      </c>
      <c r="AL146" s="120">
        <f t="shared" si="114"/>
        <v>0</v>
      </c>
      <c r="AM146" s="120">
        <f t="shared" si="114"/>
        <v>0</v>
      </c>
      <c r="AN146" s="120">
        <f t="shared" si="114"/>
        <v>1</v>
      </c>
      <c r="AO146" s="120">
        <f t="shared" si="114"/>
        <v>0</v>
      </c>
      <c r="AP146" s="120">
        <f t="shared" si="114"/>
        <v>0</v>
      </c>
      <c r="AQ146" s="120">
        <f t="shared" si="114"/>
        <v>0</v>
      </c>
      <c r="AR146" s="120">
        <f t="shared" si="114"/>
        <v>0</v>
      </c>
      <c r="AS146" s="120">
        <f t="shared" si="114"/>
        <v>0</v>
      </c>
      <c r="AT146" s="120">
        <f t="shared" si="114"/>
        <v>1</v>
      </c>
      <c r="AU146" s="120">
        <f t="shared" si="114"/>
        <v>1</v>
      </c>
      <c r="AV146" s="120">
        <f t="shared" si="114"/>
        <v>1</v>
      </c>
      <c r="AW146" s="120">
        <f t="shared" si="114"/>
        <v>0</v>
      </c>
      <c r="AX146" s="120">
        <f t="shared" si="114"/>
        <v>1</v>
      </c>
      <c r="AY146" s="120">
        <f t="shared" si="115"/>
        <v>12.333333333333332</v>
      </c>
      <c r="AZ146" s="20" t="s">
        <v>136</v>
      </c>
    </row>
    <row r="147" spans="1:52">
      <c r="A147" s="120" t="s">
        <v>155</v>
      </c>
      <c r="B147" s="120">
        <f t="shared" si="116"/>
        <v>1</v>
      </c>
      <c r="C147" s="120">
        <f t="shared" si="116"/>
        <v>0</v>
      </c>
      <c r="D147" s="120">
        <f t="shared" si="116"/>
        <v>1</v>
      </c>
      <c r="E147" s="120">
        <f t="shared" si="116"/>
        <v>1</v>
      </c>
      <c r="F147" s="120">
        <f t="shared" si="116"/>
        <v>0</v>
      </c>
      <c r="G147" s="120">
        <f t="shared" si="116"/>
        <v>0</v>
      </c>
      <c r="H147" s="120">
        <f t="shared" si="116"/>
        <v>0</v>
      </c>
      <c r="I147" s="120">
        <f t="shared" si="116"/>
        <v>0</v>
      </c>
      <c r="J147" s="120">
        <f t="shared" si="116"/>
        <v>0</v>
      </c>
      <c r="K147" s="120">
        <f t="shared" si="116"/>
        <v>0</v>
      </c>
      <c r="L147" s="120">
        <f t="shared" si="116"/>
        <v>0</v>
      </c>
      <c r="M147" s="120">
        <f t="shared" si="116"/>
        <v>0</v>
      </c>
      <c r="N147" s="120">
        <f t="shared" si="116"/>
        <v>0</v>
      </c>
      <c r="O147" s="120">
        <f t="shared" si="116"/>
        <v>0</v>
      </c>
      <c r="P147" s="120">
        <f t="shared" si="116"/>
        <v>0</v>
      </c>
      <c r="Q147" s="120">
        <f t="shared" si="116"/>
        <v>0</v>
      </c>
      <c r="R147" s="120">
        <f t="shared" si="116"/>
        <v>0</v>
      </c>
      <c r="S147" s="120">
        <f t="shared" si="116"/>
        <v>0</v>
      </c>
      <c r="T147" s="120">
        <f t="shared" si="116"/>
        <v>0</v>
      </c>
      <c r="U147" s="120">
        <f t="shared" si="116"/>
        <v>1</v>
      </c>
      <c r="V147" s="120">
        <f t="shared" si="116"/>
        <v>0</v>
      </c>
      <c r="W147" s="120">
        <f t="shared" si="116"/>
        <v>0</v>
      </c>
      <c r="X147" s="120">
        <f t="shared" si="116"/>
        <v>0</v>
      </c>
      <c r="Y147" s="120">
        <f t="shared" si="113"/>
        <v>0</v>
      </c>
      <c r="AA147" s="120">
        <f t="shared" si="114"/>
        <v>1</v>
      </c>
      <c r="AB147" s="120">
        <f t="shared" si="114"/>
        <v>0</v>
      </c>
      <c r="AC147" s="120">
        <f t="shared" si="114"/>
        <v>0.33333333333333331</v>
      </c>
      <c r="AD147" s="120">
        <f t="shared" si="114"/>
        <v>1</v>
      </c>
      <c r="AE147" s="120">
        <f t="shared" si="114"/>
        <v>0</v>
      </c>
      <c r="AF147" s="120">
        <f t="shared" si="114"/>
        <v>0</v>
      </c>
      <c r="AG147" s="120">
        <f t="shared" si="114"/>
        <v>0</v>
      </c>
      <c r="AH147" s="120">
        <f t="shared" si="114"/>
        <v>0</v>
      </c>
      <c r="AI147" s="120">
        <f t="shared" si="114"/>
        <v>0</v>
      </c>
      <c r="AJ147" s="120">
        <f t="shared" si="114"/>
        <v>0</v>
      </c>
      <c r="AK147" s="120">
        <f t="shared" si="114"/>
        <v>0</v>
      </c>
      <c r="AL147" s="120">
        <f t="shared" si="114"/>
        <v>0</v>
      </c>
      <c r="AM147" s="120">
        <f t="shared" si="114"/>
        <v>0</v>
      </c>
      <c r="AN147" s="120">
        <f t="shared" si="114"/>
        <v>0</v>
      </c>
      <c r="AO147" s="120">
        <f t="shared" si="114"/>
        <v>0</v>
      </c>
      <c r="AP147" s="120">
        <f t="shared" ref="AP147:AX162" si="117">IF(Q147=0,0,Q147/AP15)</f>
        <v>0</v>
      </c>
      <c r="AQ147" s="120">
        <f t="shared" si="117"/>
        <v>0</v>
      </c>
      <c r="AR147" s="120">
        <f t="shared" si="117"/>
        <v>0</v>
      </c>
      <c r="AS147" s="120">
        <f t="shared" si="117"/>
        <v>0</v>
      </c>
      <c r="AT147" s="120">
        <f t="shared" si="117"/>
        <v>0.5</v>
      </c>
      <c r="AU147" s="120">
        <f t="shared" si="117"/>
        <v>0</v>
      </c>
      <c r="AV147" s="120">
        <f t="shared" si="117"/>
        <v>0</v>
      </c>
      <c r="AW147" s="120">
        <f t="shared" si="117"/>
        <v>0</v>
      </c>
      <c r="AX147" s="120">
        <f t="shared" si="117"/>
        <v>0</v>
      </c>
      <c r="AY147" s="120">
        <f t="shared" si="115"/>
        <v>2.833333333333333</v>
      </c>
      <c r="AZ147" s="20" t="s">
        <v>136</v>
      </c>
    </row>
    <row r="148" spans="1:52">
      <c r="A148" s="120" t="s">
        <v>156</v>
      </c>
      <c r="B148" s="120">
        <f t="shared" si="116"/>
        <v>1</v>
      </c>
      <c r="C148" s="120">
        <f t="shared" si="116"/>
        <v>1</v>
      </c>
      <c r="D148" s="120">
        <f t="shared" si="116"/>
        <v>1</v>
      </c>
      <c r="E148" s="120">
        <f t="shared" si="116"/>
        <v>1</v>
      </c>
      <c r="F148" s="120">
        <f t="shared" si="116"/>
        <v>1</v>
      </c>
      <c r="G148" s="120">
        <f t="shared" si="116"/>
        <v>1</v>
      </c>
      <c r="H148" s="120">
        <f t="shared" si="116"/>
        <v>1</v>
      </c>
      <c r="I148" s="120">
        <f t="shared" si="116"/>
        <v>0</v>
      </c>
      <c r="J148" s="120">
        <f t="shared" si="116"/>
        <v>0</v>
      </c>
      <c r="K148" s="120">
        <f t="shared" si="116"/>
        <v>0</v>
      </c>
      <c r="L148" s="120">
        <f t="shared" si="116"/>
        <v>0</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1</v>
      </c>
      <c r="V148" s="120">
        <f t="shared" si="116"/>
        <v>0</v>
      </c>
      <c r="W148" s="120">
        <f t="shared" si="116"/>
        <v>0</v>
      </c>
      <c r="X148" s="120">
        <f t="shared" si="116"/>
        <v>0</v>
      </c>
      <c r="Y148" s="120">
        <f t="shared" si="113"/>
        <v>0</v>
      </c>
      <c r="AA148" s="120">
        <f t="shared" ref="AA148:AP163" si="118">IF(B148=0,0,B148/AA16)</f>
        <v>1</v>
      </c>
      <c r="AB148" s="120">
        <f t="shared" si="118"/>
        <v>1</v>
      </c>
      <c r="AC148" s="120">
        <f t="shared" si="118"/>
        <v>0.5</v>
      </c>
      <c r="AD148" s="120">
        <f t="shared" si="118"/>
        <v>0.5</v>
      </c>
      <c r="AE148" s="120">
        <f t="shared" si="118"/>
        <v>1</v>
      </c>
      <c r="AF148" s="120">
        <f t="shared" si="118"/>
        <v>1</v>
      </c>
      <c r="AG148" s="120">
        <f t="shared" si="118"/>
        <v>1</v>
      </c>
      <c r="AH148" s="120">
        <f t="shared" si="118"/>
        <v>0</v>
      </c>
      <c r="AI148" s="120">
        <f t="shared" si="118"/>
        <v>0</v>
      </c>
      <c r="AJ148" s="120">
        <f t="shared" si="118"/>
        <v>0</v>
      </c>
      <c r="AK148" s="120">
        <f t="shared" si="118"/>
        <v>0</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0.5</v>
      </c>
      <c r="AU148" s="120">
        <f t="shared" si="117"/>
        <v>0</v>
      </c>
      <c r="AV148" s="120">
        <f t="shared" si="117"/>
        <v>0</v>
      </c>
      <c r="AW148" s="120">
        <f t="shared" si="117"/>
        <v>0</v>
      </c>
      <c r="AX148" s="120">
        <f t="shared" si="117"/>
        <v>0</v>
      </c>
      <c r="AY148" s="120">
        <f t="shared" si="115"/>
        <v>6.5</v>
      </c>
      <c r="AZ148" s="20" t="s">
        <v>136</v>
      </c>
    </row>
    <row r="149" spans="1:52">
      <c r="A149" s="120" t="s">
        <v>157</v>
      </c>
      <c r="B149" s="120">
        <f t="shared" si="116"/>
        <v>1</v>
      </c>
      <c r="C149" s="120">
        <f t="shared" si="116"/>
        <v>1</v>
      </c>
      <c r="D149" s="120">
        <f t="shared" ref="B149:X160" si="119">IF(IFERROR(FIND($A$136,D17,1),0)=0,0,1)</f>
        <v>1</v>
      </c>
      <c r="E149" s="120">
        <f t="shared" si="119"/>
        <v>1</v>
      </c>
      <c r="F149" s="120">
        <f t="shared" si="119"/>
        <v>1</v>
      </c>
      <c r="G149" s="120">
        <f t="shared" si="119"/>
        <v>0</v>
      </c>
      <c r="H149" s="120">
        <f t="shared" si="119"/>
        <v>0</v>
      </c>
      <c r="I149" s="120">
        <f t="shared" si="119"/>
        <v>0</v>
      </c>
      <c r="J149" s="120">
        <f t="shared" si="119"/>
        <v>1</v>
      </c>
      <c r="K149" s="120">
        <f t="shared" si="119"/>
        <v>0</v>
      </c>
      <c r="L149" s="120">
        <f t="shared" si="119"/>
        <v>0</v>
      </c>
      <c r="M149" s="120">
        <f t="shared" si="119"/>
        <v>0</v>
      </c>
      <c r="N149" s="120">
        <f t="shared" si="119"/>
        <v>0</v>
      </c>
      <c r="O149" s="120">
        <f t="shared" si="119"/>
        <v>0</v>
      </c>
      <c r="P149" s="120">
        <f t="shared" si="119"/>
        <v>0</v>
      </c>
      <c r="Q149" s="120">
        <f t="shared" si="119"/>
        <v>0</v>
      </c>
      <c r="R149" s="120">
        <f t="shared" si="119"/>
        <v>0</v>
      </c>
      <c r="S149" s="120">
        <f t="shared" si="119"/>
        <v>0</v>
      </c>
      <c r="T149" s="120">
        <f t="shared" si="119"/>
        <v>0</v>
      </c>
      <c r="U149" s="120">
        <f t="shared" si="119"/>
        <v>0</v>
      </c>
      <c r="V149" s="120">
        <f t="shared" si="119"/>
        <v>0</v>
      </c>
      <c r="W149" s="120">
        <f t="shared" si="119"/>
        <v>1</v>
      </c>
      <c r="X149" s="120">
        <f t="shared" si="119"/>
        <v>0</v>
      </c>
      <c r="Y149" s="120">
        <f t="shared" si="113"/>
        <v>0</v>
      </c>
      <c r="AA149" s="120">
        <f t="shared" si="118"/>
        <v>1</v>
      </c>
      <c r="AB149" s="120">
        <f t="shared" si="118"/>
        <v>1</v>
      </c>
      <c r="AC149" s="120">
        <f t="shared" si="118"/>
        <v>1</v>
      </c>
      <c r="AD149" s="120">
        <f t="shared" si="118"/>
        <v>1</v>
      </c>
      <c r="AE149" s="120">
        <f t="shared" si="118"/>
        <v>1</v>
      </c>
      <c r="AF149" s="120">
        <f t="shared" si="118"/>
        <v>0</v>
      </c>
      <c r="AG149" s="120">
        <f t="shared" si="118"/>
        <v>0</v>
      </c>
      <c r="AH149" s="120">
        <f t="shared" si="118"/>
        <v>0</v>
      </c>
      <c r="AI149" s="120">
        <f t="shared" si="118"/>
        <v>1</v>
      </c>
      <c r="AJ149" s="120">
        <f t="shared" si="118"/>
        <v>0</v>
      </c>
      <c r="AK149" s="120">
        <f t="shared" si="118"/>
        <v>0</v>
      </c>
      <c r="AL149" s="120">
        <f t="shared" si="118"/>
        <v>0</v>
      </c>
      <c r="AM149" s="120">
        <f t="shared" si="118"/>
        <v>0</v>
      </c>
      <c r="AN149" s="120">
        <f t="shared" si="118"/>
        <v>0</v>
      </c>
      <c r="AO149" s="120">
        <f t="shared" si="118"/>
        <v>0</v>
      </c>
      <c r="AP149" s="120">
        <f t="shared" si="117"/>
        <v>0</v>
      </c>
      <c r="AQ149" s="120">
        <f t="shared" si="117"/>
        <v>0</v>
      </c>
      <c r="AR149" s="120">
        <f t="shared" si="117"/>
        <v>0</v>
      </c>
      <c r="AS149" s="120">
        <f t="shared" si="117"/>
        <v>0</v>
      </c>
      <c r="AT149" s="120">
        <f t="shared" si="117"/>
        <v>0</v>
      </c>
      <c r="AU149" s="120">
        <f t="shared" si="117"/>
        <v>0</v>
      </c>
      <c r="AV149" s="120">
        <f t="shared" si="117"/>
        <v>1</v>
      </c>
      <c r="AW149" s="120">
        <f t="shared" si="117"/>
        <v>0</v>
      </c>
      <c r="AX149" s="120">
        <f t="shared" si="117"/>
        <v>0</v>
      </c>
      <c r="AY149" s="120">
        <f t="shared" si="115"/>
        <v>7</v>
      </c>
      <c r="AZ149" s="20" t="s">
        <v>136</v>
      </c>
    </row>
    <row r="150" spans="1:52">
      <c r="A150" s="120" t="s">
        <v>158</v>
      </c>
      <c r="B150" s="120">
        <f t="shared" si="119"/>
        <v>0</v>
      </c>
      <c r="C150" s="120">
        <f t="shared" si="119"/>
        <v>1</v>
      </c>
      <c r="D150" s="120">
        <f t="shared" si="119"/>
        <v>0</v>
      </c>
      <c r="E150" s="120">
        <f t="shared" si="119"/>
        <v>1</v>
      </c>
      <c r="F150" s="120">
        <f t="shared" si="119"/>
        <v>0</v>
      </c>
      <c r="G150" s="120">
        <f t="shared" si="119"/>
        <v>0</v>
      </c>
      <c r="H150" s="120">
        <f t="shared" si="119"/>
        <v>1</v>
      </c>
      <c r="I150" s="120">
        <f t="shared" si="119"/>
        <v>1</v>
      </c>
      <c r="J150" s="120">
        <f t="shared" si="119"/>
        <v>0</v>
      </c>
      <c r="K150" s="120">
        <f t="shared" si="119"/>
        <v>1</v>
      </c>
      <c r="L150" s="120">
        <f t="shared" si="119"/>
        <v>0</v>
      </c>
      <c r="M150" s="120">
        <f t="shared" si="119"/>
        <v>0</v>
      </c>
      <c r="N150" s="120">
        <f t="shared" si="119"/>
        <v>0</v>
      </c>
      <c r="O150" s="120">
        <f t="shared" si="119"/>
        <v>0</v>
      </c>
      <c r="P150" s="120">
        <f t="shared" si="119"/>
        <v>0</v>
      </c>
      <c r="Q150" s="120">
        <f t="shared" si="119"/>
        <v>0</v>
      </c>
      <c r="R150" s="120">
        <f t="shared" si="119"/>
        <v>0</v>
      </c>
      <c r="S150" s="120">
        <f t="shared" si="119"/>
        <v>0</v>
      </c>
      <c r="T150" s="120">
        <f t="shared" si="119"/>
        <v>1</v>
      </c>
      <c r="U150" s="120">
        <f t="shared" si="119"/>
        <v>1</v>
      </c>
      <c r="V150" s="120">
        <f t="shared" si="119"/>
        <v>0</v>
      </c>
      <c r="W150" s="120">
        <f t="shared" si="119"/>
        <v>0</v>
      </c>
      <c r="X150" s="120">
        <f t="shared" si="119"/>
        <v>1</v>
      </c>
      <c r="Y150" s="120">
        <f t="shared" si="113"/>
        <v>0</v>
      </c>
      <c r="AA150" s="120">
        <f t="shared" si="118"/>
        <v>0</v>
      </c>
      <c r="AB150" s="120">
        <f t="shared" si="118"/>
        <v>1</v>
      </c>
      <c r="AC150" s="120">
        <f t="shared" si="118"/>
        <v>0</v>
      </c>
      <c r="AD150" s="120">
        <f t="shared" si="118"/>
        <v>1</v>
      </c>
      <c r="AE150" s="120">
        <f t="shared" si="118"/>
        <v>0</v>
      </c>
      <c r="AF150" s="120">
        <f t="shared" si="118"/>
        <v>0</v>
      </c>
      <c r="AG150" s="120">
        <f t="shared" si="118"/>
        <v>1</v>
      </c>
      <c r="AH150" s="120">
        <f t="shared" si="118"/>
        <v>1</v>
      </c>
      <c r="AI150" s="120">
        <f t="shared" si="118"/>
        <v>0</v>
      </c>
      <c r="AJ150" s="120">
        <f t="shared" si="118"/>
        <v>1</v>
      </c>
      <c r="AK150" s="120">
        <f t="shared" si="118"/>
        <v>0</v>
      </c>
      <c r="AL150" s="120">
        <f t="shared" si="118"/>
        <v>0</v>
      </c>
      <c r="AM150" s="120">
        <f t="shared" si="118"/>
        <v>0</v>
      </c>
      <c r="AN150" s="120">
        <f t="shared" si="118"/>
        <v>0</v>
      </c>
      <c r="AO150" s="120">
        <f t="shared" si="118"/>
        <v>0</v>
      </c>
      <c r="AP150" s="120">
        <f t="shared" si="117"/>
        <v>0</v>
      </c>
      <c r="AQ150" s="120">
        <f t="shared" si="117"/>
        <v>0</v>
      </c>
      <c r="AR150" s="120">
        <f t="shared" si="117"/>
        <v>0</v>
      </c>
      <c r="AS150" s="120">
        <f t="shared" si="117"/>
        <v>1</v>
      </c>
      <c r="AT150" s="120">
        <f t="shared" si="117"/>
        <v>1</v>
      </c>
      <c r="AU150" s="120">
        <f t="shared" si="117"/>
        <v>0</v>
      </c>
      <c r="AV150" s="120">
        <f t="shared" si="117"/>
        <v>0</v>
      </c>
      <c r="AW150" s="120">
        <f t="shared" si="117"/>
        <v>1</v>
      </c>
      <c r="AX150" s="120">
        <f t="shared" si="117"/>
        <v>0</v>
      </c>
      <c r="AY150" s="120">
        <f t="shared" si="115"/>
        <v>8</v>
      </c>
      <c r="AZ150" s="20" t="s">
        <v>136</v>
      </c>
    </row>
    <row r="151" spans="1:52">
      <c r="A151" s="120" t="s">
        <v>159</v>
      </c>
      <c r="B151" s="120">
        <f t="shared" si="119"/>
        <v>0</v>
      </c>
      <c r="C151" s="120">
        <f t="shared" si="119"/>
        <v>0</v>
      </c>
      <c r="D151" s="120">
        <f t="shared" si="119"/>
        <v>0</v>
      </c>
      <c r="E151" s="120">
        <f t="shared" si="119"/>
        <v>1</v>
      </c>
      <c r="F151" s="120">
        <f t="shared" si="119"/>
        <v>1</v>
      </c>
      <c r="G151" s="120">
        <f t="shared" si="119"/>
        <v>1</v>
      </c>
      <c r="H151" s="120">
        <f t="shared" si="119"/>
        <v>1</v>
      </c>
      <c r="I151" s="120">
        <f t="shared" si="119"/>
        <v>1</v>
      </c>
      <c r="J151" s="120">
        <f t="shared" si="119"/>
        <v>0</v>
      </c>
      <c r="K151" s="120">
        <f t="shared" si="119"/>
        <v>0</v>
      </c>
      <c r="L151" s="120">
        <f t="shared" si="119"/>
        <v>0</v>
      </c>
      <c r="M151" s="120">
        <f t="shared" si="119"/>
        <v>0</v>
      </c>
      <c r="N151" s="120">
        <f t="shared" si="119"/>
        <v>0</v>
      </c>
      <c r="O151" s="120">
        <f t="shared" si="119"/>
        <v>0</v>
      </c>
      <c r="P151" s="120">
        <f t="shared" si="119"/>
        <v>0</v>
      </c>
      <c r="Q151" s="120">
        <f t="shared" si="119"/>
        <v>0</v>
      </c>
      <c r="R151" s="120">
        <f t="shared" si="119"/>
        <v>0</v>
      </c>
      <c r="S151" s="120">
        <f t="shared" si="119"/>
        <v>0</v>
      </c>
      <c r="T151" s="120">
        <f t="shared" si="119"/>
        <v>0</v>
      </c>
      <c r="U151" s="120">
        <f t="shared" si="119"/>
        <v>1</v>
      </c>
      <c r="V151" s="120">
        <f t="shared" si="119"/>
        <v>0</v>
      </c>
      <c r="W151" s="120">
        <f t="shared" si="119"/>
        <v>1</v>
      </c>
      <c r="X151" s="120">
        <f t="shared" si="119"/>
        <v>0</v>
      </c>
      <c r="Y151" s="120">
        <f t="shared" si="113"/>
        <v>1</v>
      </c>
      <c r="AA151" s="120">
        <f t="shared" si="118"/>
        <v>0</v>
      </c>
      <c r="AB151" s="120">
        <f t="shared" si="118"/>
        <v>0</v>
      </c>
      <c r="AC151" s="120">
        <f t="shared" si="118"/>
        <v>0</v>
      </c>
      <c r="AD151" s="120">
        <f t="shared" si="118"/>
        <v>1</v>
      </c>
      <c r="AE151" s="120">
        <f t="shared" si="118"/>
        <v>1</v>
      </c>
      <c r="AF151" s="120">
        <f t="shared" si="118"/>
        <v>1</v>
      </c>
      <c r="AG151" s="120">
        <f t="shared" si="118"/>
        <v>1</v>
      </c>
      <c r="AH151" s="120">
        <f t="shared" si="118"/>
        <v>1</v>
      </c>
      <c r="AI151" s="120">
        <f t="shared" si="118"/>
        <v>0</v>
      </c>
      <c r="AJ151" s="120">
        <f t="shared" si="118"/>
        <v>0</v>
      </c>
      <c r="AK151" s="120">
        <f t="shared" si="118"/>
        <v>0</v>
      </c>
      <c r="AL151" s="120">
        <f t="shared" si="118"/>
        <v>0</v>
      </c>
      <c r="AM151" s="120">
        <f t="shared" si="118"/>
        <v>0</v>
      </c>
      <c r="AN151" s="120">
        <f t="shared" si="118"/>
        <v>0</v>
      </c>
      <c r="AO151" s="120">
        <f t="shared" si="118"/>
        <v>0</v>
      </c>
      <c r="AP151" s="120">
        <f t="shared" si="117"/>
        <v>0</v>
      </c>
      <c r="AQ151" s="120">
        <f t="shared" si="117"/>
        <v>0</v>
      </c>
      <c r="AR151" s="120">
        <f t="shared" si="117"/>
        <v>0</v>
      </c>
      <c r="AS151" s="120">
        <f t="shared" si="117"/>
        <v>0</v>
      </c>
      <c r="AT151" s="120">
        <f t="shared" si="117"/>
        <v>1</v>
      </c>
      <c r="AU151" s="120">
        <f t="shared" si="117"/>
        <v>0</v>
      </c>
      <c r="AV151" s="120">
        <f t="shared" si="117"/>
        <v>1</v>
      </c>
      <c r="AW151" s="120">
        <f t="shared" si="117"/>
        <v>0</v>
      </c>
      <c r="AX151" s="120">
        <f t="shared" si="117"/>
        <v>1</v>
      </c>
      <c r="AY151" s="120">
        <f t="shared" si="115"/>
        <v>8</v>
      </c>
      <c r="AZ151" s="20" t="s">
        <v>136</v>
      </c>
    </row>
    <row r="152" spans="1:52">
      <c r="A152" s="120" t="s">
        <v>160</v>
      </c>
      <c r="B152" s="120">
        <f t="shared" si="119"/>
        <v>1</v>
      </c>
      <c r="C152" s="120">
        <f t="shared" si="119"/>
        <v>0</v>
      </c>
      <c r="D152" s="120">
        <f t="shared" si="119"/>
        <v>0</v>
      </c>
      <c r="E152" s="120">
        <f t="shared" si="119"/>
        <v>0</v>
      </c>
      <c r="F152" s="120">
        <f t="shared" si="119"/>
        <v>0</v>
      </c>
      <c r="G152" s="120">
        <f t="shared" si="119"/>
        <v>0</v>
      </c>
      <c r="H152" s="120">
        <f t="shared" si="119"/>
        <v>0</v>
      </c>
      <c r="I152" s="120">
        <f t="shared" si="119"/>
        <v>1</v>
      </c>
      <c r="J152" s="120">
        <f t="shared" si="119"/>
        <v>1</v>
      </c>
      <c r="K152" s="120">
        <f t="shared" si="119"/>
        <v>1</v>
      </c>
      <c r="L152" s="120">
        <f t="shared" si="119"/>
        <v>0</v>
      </c>
      <c r="M152" s="120">
        <f t="shared" si="119"/>
        <v>1</v>
      </c>
      <c r="N152" s="120">
        <f t="shared" si="119"/>
        <v>0</v>
      </c>
      <c r="O152" s="120">
        <f t="shared" si="119"/>
        <v>0</v>
      </c>
      <c r="P152" s="120">
        <f t="shared" si="119"/>
        <v>0</v>
      </c>
      <c r="Q152" s="120">
        <f t="shared" si="119"/>
        <v>0</v>
      </c>
      <c r="R152" s="120">
        <f t="shared" si="119"/>
        <v>0</v>
      </c>
      <c r="S152" s="120">
        <f t="shared" si="119"/>
        <v>1</v>
      </c>
      <c r="T152" s="120">
        <f t="shared" si="119"/>
        <v>0</v>
      </c>
      <c r="U152" s="120">
        <f t="shared" si="119"/>
        <v>0</v>
      </c>
      <c r="V152" s="120">
        <f t="shared" si="119"/>
        <v>1</v>
      </c>
      <c r="W152" s="120">
        <f t="shared" si="119"/>
        <v>1</v>
      </c>
      <c r="X152" s="120">
        <f t="shared" si="119"/>
        <v>1</v>
      </c>
      <c r="Y152" s="120">
        <f t="shared" si="113"/>
        <v>1</v>
      </c>
      <c r="AA152" s="120">
        <f t="shared" si="118"/>
        <v>0.5</v>
      </c>
      <c r="AB152" s="120">
        <f t="shared" si="118"/>
        <v>0</v>
      </c>
      <c r="AC152" s="120">
        <f t="shared" si="118"/>
        <v>0</v>
      </c>
      <c r="AD152" s="120">
        <f t="shared" si="118"/>
        <v>0</v>
      </c>
      <c r="AE152" s="120">
        <f t="shared" si="118"/>
        <v>0</v>
      </c>
      <c r="AF152" s="120">
        <f t="shared" si="118"/>
        <v>0</v>
      </c>
      <c r="AG152" s="120">
        <f t="shared" si="118"/>
        <v>0</v>
      </c>
      <c r="AH152" s="120">
        <f t="shared" si="118"/>
        <v>0.33333333333333331</v>
      </c>
      <c r="AI152" s="120">
        <f t="shared" si="118"/>
        <v>0.33333333333333331</v>
      </c>
      <c r="AJ152" s="120">
        <f t="shared" si="118"/>
        <v>1</v>
      </c>
      <c r="AK152" s="120">
        <f t="shared" si="118"/>
        <v>0</v>
      </c>
      <c r="AL152" s="120">
        <f t="shared" si="118"/>
        <v>0.5</v>
      </c>
      <c r="AM152" s="120">
        <f t="shared" si="118"/>
        <v>0</v>
      </c>
      <c r="AN152" s="120">
        <f t="shared" si="118"/>
        <v>0</v>
      </c>
      <c r="AO152" s="120">
        <f t="shared" si="118"/>
        <v>0</v>
      </c>
      <c r="AP152" s="120">
        <f t="shared" si="117"/>
        <v>0</v>
      </c>
      <c r="AQ152" s="120">
        <f t="shared" si="117"/>
        <v>0</v>
      </c>
      <c r="AR152" s="120">
        <f t="shared" si="117"/>
        <v>0.5</v>
      </c>
      <c r="AS152" s="120">
        <f t="shared" si="117"/>
        <v>0</v>
      </c>
      <c r="AT152" s="120">
        <f t="shared" si="117"/>
        <v>0</v>
      </c>
      <c r="AU152" s="120">
        <f t="shared" si="117"/>
        <v>1</v>
      </c>
      <c r="AV152" s="120">
        <f t="shared" si="117"/>
        <v>1</v>
      </c>
      <c r="AW152" s="120">
        <f t="shared" si="117"/>
        <v>1</v>
      </c>
      <c r="AX152" s="120">
        <f t="shared" si="117"/>
        <v>1</v>
      </c>
      <c r="AY152" s="120">
        <f t="shared" si="115"/>
        <v>7.1666666666666661</v>
      </c>
      <c r="AZ152" s="20" t="s">
        <v>136</v>
      </c>
    </row>
    <row r="153" spans="1:52">
      <c r="A153" s="120" t="s">
        <v>161</v>
      </c>
      <c r="B153" s="120">
        <f t="shared" si="119"/>
        <v>0</v>
      </c>
      <c r="C153" s="120">
        <f t="shared" si="119"/>
        <v>0</v>
      </c>
      <c r="D153" s="120">
        <f t="shared" si="119"/>
        <v>0</v>
      </c>
      <c r="E153" s="120">
        <f t="shared" si="119"/>
        <v>0</v>
      </c>
      <c r="F153" s="120">
        <f t="shared" si="119"/>
        <v>0</v>
      </c>
      <c r="G153" s="120">
        <f t="shared" si="119"/>
        <v>0</v>
      </c>
      <c r="H153" s="120">
        <f t="shared" si="119"/>
        <v>0</v>
      </c>
      <c r="I153" s="120">
        <f t="shared" si="119"/>
        <v>0</v>
      </c>
      <c r="J153" s="120">
        <f t="shared" si="119"/>
        <v>1</v>
      </c>
      <c r="K153" s="120">
        <f t="shared" si="119"/>
        <v>0</v>
      </c>
      <c r="L153" s="120">
        <f t="shared" si="119"/>
        <v>0</v>
      </c>
      <c r="M153" s="120">
        <f t="shared" si="119"/>
        <v>1</v>
      </c>
      <c r="N153" s="120">
        <f t="shared" si="119"/>
        <v>0</v>
      </c>
      <c r="O153" s="120">
        <f t="shared" si="119"/>
        <v>0</v>
      </c>
      <c r="P153" s="120">
        <f t="shared" si="119"/>
        <v>0</v>
      </c>
      <c r="Q153" s="120">
        <f t="shared" si="119"/>
        <v>0</v>
      </c>
      <c r="R153" s="120">
        <f t="shared" si="119"/>
        <v>0</v>
      </c>
      <c r="S153" s="120">
        <f t="shared" si="119"/>
        <v>0</v>
      </c>
      <c r="T153" s="120">
        <f t="shared" si="119"/>
        <v>0</v>
      </c>
      <c r="U153" s="120">
        <f t="shared" si="119"/>
        <v>0</v>
      </c>
      <c r="V153" s="120">
        <f t="shared" si="119"/>
        <v>0</v>
      </c>
      <c r="W153" s="120">
        <f t="shared" si="119"/>
        <v>1</v>
      </c>
      <c r="X153" s="120">
        <f t="shared" si="119"/>
        <v>0</v>
      </c>
      <c r="Y153" s="120">
        <f t="shared" si="113"/>
        <v>0</v>
      </c>
      <c r="AA153" s="120">
        <f t="shared" si="118"/>
        <v>0</v>
      </c>
      <c r="AB153" s="120">
        <f t="shared" si="118"/>
        <v>0</v>
      </c>
      <c r="AC153" s="120">
        <f t="shared" si="118"/>
        <v>0</v>
      </c>
      <c r="AD153" s="120">
        <f t="shared" si="118"/>
        <v>0</v>
      </c>
      <c r="AE153" s="120">
        <f t="shared" si="118"/>
        <v>0</v>
      </c>
      <c r="AF153" s="120">
        <f t="shared" si="118"/>
        <v>0</v>
      </c>
      <c r="AG153" s="120">
        <f t="shared" si="118"/>
        <v>0</v>
      </c>
      <c r="AH153" s="120">
        <f t="shared" si="118"/>
        <v>0</v>
      </c>
      <c r="AI153" s="120">
        <f t="shared" si="118"/>
        <v>1</v>
      </c>
      <c r="AJ153" s="120">
        <f t="shared" si="118"/>
        <v>0</v>
      </c>
      <c r="AK153" s="120">
        <f t="shared" si="118"/>
        <v>0</v>
      </c>
      <c r="AL153" s="120">
        <f t="shared" si="118"/>
        <v>0.5</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0</v>
      </c>
      <c r="AU153" s="120">
        <f t="shared" si="117"/>
        <v>0</v>
      </c>
      <c r="AV153" s="120">
        <f t="shared" si="117"/>
        <v>1</v>
      </c>
      <c r="AW153" s="120">
        <f t="shared" si="117"/>
        <v>0</v>
      </c>
      <c r="AX153" s="120">
        <f t="shared" si="117"/>
        <v>0</v>
      </c>
      <c r="AY153" s="120">
        <f t="shared" si="115"/>
        <v>2.5</v>
      </c>
      <c r="AZ153" s="20" t="s">
        <v>136</v>
      </c>
    </row>
    <row r="154" spans="1:52">
      <c r="A154" s="120" t="s">
        <v>162</v>
      </c>
      <c r="B154" s="120">
        <f t="shared" si="119"/>
        <v>0</v>
      </c>
      <c r="C154" s="120">
        <f t="shared" si="119"/>
        <v>0</v>
      </c>
      <c r="D154" s="120">
        <f t="shared" si="119"/>
        <v>1</v>
      </c>
      <c r="E154" s="120">
        <f t="shared" si="119"/>
        <v>1</v>
      </c>
      <c r="F154" s="120">
        <f t="shared" si="119"/>
        <v>1</v>
      </c>
      <c r="G154" s="120">
        <f t="shared" si="119"/>
        <v>1</v>
      </c>
      <c r="H154" s="120">
        <f t="shared" si="119"/>
        <v>0</v>
      </c>
      <c r="I154" s="120">
        <f t="shared" si="119"/>
        <v>0</v>
      </c>
      <c r="J154" s="120">
        <f t="shared" si="119"/>
        <v>0</v>
      </c>
      <c r="K154" s="120">
        <f t="shared" si="119"/>
        <v>1</v>
      </c>
      <c r="L154" s="120">
        <f t="shared" si="119"/>
        <v>0</v>
      </c>
      <c r="M154" s="120">
        <f t="shared" si="119"/>
        <v>1</v>
      </c>
      <c r="N154" s="120">
        <f t="shared" si="119"/>
        <v>0</v>
      </c>
      <c r="O154" s="120">
        <f t="shared" si="119"/>
        <v>0</v>
      </c>
      <c r="P154" s="120">
        <f t="shared" si="119"/>
        <v>1</v>
      </c>
      <c r="Q154" s="120">
        <f t="shared" si="119"/>
        <v>1</v>
      </c>
      <c r="R154" s="120">
        <f t="shared" si="119"/>
        <v>1</v>
      </c>
      <c r="S154" s="120">
        <f t="shared" si="119"/>
        <v>0</v>
      </c>
      <c r="T154" s="120">
        <f t="shared" si="119"/>
        <v>0</v>
      </c>
      <c r="U154" s="120">
        <f t="shared" si="119"/>
        <v>1</v>
      </c>
      <c r="V154" s="120">
        <f t="shared" si="119"/>
        <v>1</v>
      </c>
      <c r="W154" s="120">
        <f t="shared" si="119"/>
        <v>1</v>
      </c>
      <c r="X154" s="120">
        <f t="shared" si="119"/>
        <v>1</v>
      </c>
      <c r="Y154" s="120">
        <f t="shared" si="113"/>
        <v>0</v>
      </c>
      <c r="AA154" s="120">
        <f t="shared" si="118"/>
        <v>0</v>
      </c>
      <c r="AB154" s="120">
        <f t="shared" si="118"/>
        <v>0</v>
      </c>
      <c r="AC154" s="120">
        <f t="shared" si="118"/>
        <v>1</v>
      </c>
      <c r="AD154" s="120">
        <f t="shared" si="118"/>
        <v>1</v>
      </c>
      <c r="AE154" s="120">
        <f t="shared" si="118"/>
        <v>1</v>
      </c>
      <c r="AF154" s="120">
        <f t="shared" si="118"/>
        <v>1</v>
      </c>
      <c r="AG154" s="120">
        <f t="shared" si="118"/>
        <v>0</v>
      </c>
      <c r="AH154" s="120">
        <f t="shared" si="118"/>
        <v>0</v>
      </c>
      <c r="AI154" s="120">
        <f t="shared" si="118"/>
        <v>0</v>
      </c>
      <c r="AJ154" s="120">
        <f t="shared" si="118"/>
        <v>1</v>
      </c>
      <c r="AK154" s="120">
        <f t="shared" si="118"/>
        <v>0</v>
      </c>
      <c r="AL154" s="120">
        <f t="shared" si="118"/>
        <v>1</v>
      </c>
      <c r="AM154" s="120">
        <f t="shared" si="118"/>
        <v>0</v>
      </c>
      <c r="AN154" s="120">
        <f t="shared" si="118"/>
        <v>0</v>
      </c>
      <c r="AO154" s="120">
        <f t="shared" si="118"/>
        <v>1</v>
      </c>
      <c r="AP154" s="120">
        <f t="shared" si="117"/>
        <v>1</v>
      </c>
      <c r="AQ154" s="120">
        <f t="shared" si="117"/>
        <v>1</v>
      </c>
      <c r="AR154" s="120">
        <f t="shared" si="117"/>
        <v>0</v>
      </c>
      <c r="AS154" s="120">
        <f t="shared" si="117"/>
        <v>0</v>
      </c>
      <c r="AT154" s="120">
        <f t="shared" si="117"/>
        <v>1</v>
      </c>
      <c r="AU154" s="120">
        <f t="shared" si="117"/>
        <v>1</v>
      </c>
      <c r="AV154" s="120">
        <f t="shared" si="117"/>
        <v>1</v>
      </c>
      <c r="AW154" s="120">
        <f t="shared" si="117"/>
        <v>1</v>
      </c>
      <c r="AX154" s="120">
        <f t="shared" si="117"/>
        <v>0</v>
      </c>
      <c r="AY154" s="120">
        <f t="shared" si="115"/>
        <v>13</v>
      </c>
      <c r="AZ154" s="20" t="s">
        <v>136</v>
      </c>
    </row>
    <row r="155" spans="1:52">
      <c r="A155" s="120" t="s">
        <v>163</v>
      </c>
      <c r="B155" s="120">
        <f t="shared" si="119"/>
        <v>0</v>
      </c>
      <c r="C155" s="120">
        <f t="shared" si="119"/>
        <v>1</v>
      </c>
      <c r="D155" s="120">
        <f t="shared" si="119"/>
        <v>1</v>
      </c>
      <c r="E155" s="120">
        <f t="shared" si="119"/>
        <v>1</v>
      </c>
      <c r="F155" s="120">
        <f t="shared" si="119"/>
        <v>0</v>
      </c>
      <c r="G155" s="120">
        <f t="shared" si="119"/>
        <v>0</v>
      </c>
      <c r="H155" s="120">
        <f t="shared" si="119"/>
        <v>1</v>
      </c>
      <c r="I155" s="120">
        <f t="shared" si="119"/>
        <v>0</v>
      </c>
      <c r="J155" s="120">
        <f t="shared" si="119"/>
        <v>0</v>
      </c>
      <c r="K155" s="120">
        <f t="shared" si="119"/>
        <v>0</v>
      </c>
      <c r="L155" s="120">
        <f t="shared" si="119"/>
        <v>1</v>
      </c>
      <c r="M155" s="120">
        <f t="shared" si="119"/>
        <v>1</v>
      </c>
      <c r="N155" s="120">
        <f t="shared" si="119"/>
        <v>1</v>
      </c>
      <c r="O155" s="120">
        <f t="shared" si="119"/>
        <v>1</v>
      </c>
      <c r="P155" s="120">
        <f t="shared" si="119"/>
        <v>1</v>
      </c>
      <c r="Q155" s="120">
        <f t="shared" si="119"/>
        <v>0</v>
      </c>
      <c r="R155" s="120">
        <f t="shared" si="119"/>
        <v>0</v>
      </c>
      <c r="S155" s="120">
        <f t="shared" si="119"/>
        <v>1</v>
      </c>
      <c r="T155" s="120">
        <f t="shared" si="119"/>
        <v>0</v>
      </c>
      <c r="U155" s="120">
        <f t="shared" si="119"/>
        <v>0</v>
      </c>
      <c r="V155" s="120">
        <f t="shared" si="119"/>
        <v>1</v>
      </c>
      <c r="W155" s="120">
        <f t="shared" si="119"/>
        <v>1</v>
      </c>
      <c r="X155" s="120">
        <f t="shared" si="119"/>
        <v>1</v>
      </c>
      <c r="Y155" s="120">
        <f t="shared" si="113"/>
        <v>1</v>
      </c>
      <c r="AA155" s="120">
        <f t="shared" si="118"/>
        <v>0</v>
      </c>
      <c r="AB155" s="120">
        <f t="shared" si="118"/>
        <v>1</v>
      </c>
      <c r="AC155" s="120">
        <f t="shared" si="118"/>
        <v>1</v>
      </c>
      <c r="AD155" s="120">
        <f t="shared" si="118"/>
        <v>1</v>
      </c>
      <c r="AE155" s="120">
        <f t="shared" si="118"/>
        <v>0</v>
      </c>
      <c r="AF155" s="120">
        <f t="shared" si="118"/>
        <v>0</v>
      </c>
      <c r="AG155" s="120">
        <f t="shared" si="118"/>
        <v>1</v>
      </c>
      <c r="AH155" s="120">
        <f t="shared" si="118"/>
        <v>0</v>
      </c>
      <c r="AI155" s="120">
        <f t="shared" si="118"/>
        <v>0</v>
      </c>
      <c r="AJ155" s="120">
        <f t="shared" si="118"/>
        <v>0</v>
      </c>
      <c r="AK155" s="120">
        <f t="shared" si="118"/>
        <v>1</v>
      </c>
      <c r="AL155" s="120">
        <f t="shared" si="118"/>
        <v>1</v>
      </c>
      <c r="AM155" s="120">
        <f t="shared" si="118"/>
        <v>1</v>
      </c>
      <c r="AN155" s="120">
        <f t="shared" si="118"/>
        <v>1</v>
      </c>
      <c r="AO155" s="120">
        <f t="shared" si="118"/>
        <v>1</v>
      </c>
      <c r="AP155" s="120">
        <f t="shared" si="117"/>
        <v>0</v>
      </c>
      <c r="AQ155" s="120">
        <f t="shared" si="117"/>
        <v>0</v>
      </c>
      <c r="AR155" s="120">
        <f t="shared" si="117"/>
        <v>1</v>
      </c>
      <c r="AS155" s="120">
        <f t="shared" si="117"/>
        <v>0</v>
      </c>
      <c r="AT155" s="120">
        <f t="shared" si="117"/>
        <v>0</v>
      </c>
      <c r="AU155" s="120">
        <f t="shared" si="117"/>
        <v>1</v>
      </c>
      <c r="AV155" s="120">
        <f t="shared" si="117"/>
        <v>1</v>
      </c>
      <c r="AW155" s="120">
        <f t="shared" si="117"/>
        <v>1</v>
      </c>
      <c r="AX155" s="120">
        <f t="shared" si="117"/>
        <v>1</v>
      </c>
      <c r="AY155" s="120">
        <f t="shared" si="115"/>
        <v>14</v>
      </c>
      <c r="AZ155" s="20" t="s">
        <v>136</v>
      </c>
    </row>
    <row r="156" spans="1:52">
      <c r="A156" s="120" t="s">
        <v>164</v>
      </c>
      <c r="B156" s="120">
        <f t="shared" si="119"/>
        <v>0</v>
      </c>
      <c r="C156" s="120">
        <f t="shared" si="119"/>
        <v>0</v>
      </c>
      <c r="D156" s="120">
        <f t="shared" si="119"/>
        <v>1</v>
      </c>
      <c r="E156" s="120">
        <f t="shared" si="119"/>
        <v>1</v>
      </c>
      <c r="F156" s="120">
        <f t="shared" si="119"/>
        <v>0</v>
      </c>
      <c r="G156" s="120">
        <f t="shared" si="119"/>
        <v>0</v>
      </c>
      <c r="H156" s="120">
        <f t="shared" si="119"/>
        <v>1</v>
      </c>
      <c r="I156" s="120">
        <f t="shared" si="119"/>
        <v>0</v>
      </c>
      <c r="J156" s="120">
        <f t="shared" si="119"/>
        <v>0</v>
      </c>
      <c r="K156" s="120">
        <f t="shared" si="119"/>
        <v>0</v>
      </c>
      <c r="L156" s="120">
        <f t="shared" si="119"/>
        <v>0</v>
      </c>
      <c r="M156" s="120">
        <f t="shared" si="119"/>
        <v>0</v>
      </c>
      <c r="N156" s="120">
        <f t="shared" si="119"/>
        <v>1</v>
      </c>
      <c r="O156" s="120">
        <f t="shared" si="119"/>
        <v>0</v>
      </c>
      <c r="P156" s="120">
        <f t="shared" si="119"/>
        <v>0</v>
      </c>
      <c r="Q156" s="120">
        <f t="shared" si="119"/>
        <v>0</v>
      </c>
      <c r="R156" s="120">
        <f t="shared" si="119"/>
        <v>0</v>
      </c>
      <c r="S156" s="120">
        <f t="shared" si="119"/>
        <v>0</v>
      </c>
      <c r="T156" s="120">
        <f t="shared" si="119"/>
        <v>0</v>
      </c>
      <c r="U156" s="120">
        <f t="shared" si="119"/>
        <v>0</v>
      </c>
      <c r="V156" s="120">
        <f t="shared" si="119"/>
        <v>1</v>
      </c>
      <c r="W156" s="120">
        <f t="shared" si="119"/>
        <v>1</v>
      </c>
      <c r="X156" s="120">
        <f t="shared" si="119"/>
        <v>0</v>
      </c>
      <c r="Y156" s="120">
        <f t="shared" si="113"/>
        <v>0</v>
      </c>
      <c r="AA156" s="120">
        <f t="shared" si="118"/>
        <v>0</v>
      </c>
      <c r="AB156" s="120">
        <f t="shared" si="118"/>
        <v>0</v>
      </c>
      <c r="AC156" s="120">
        <f t="shared" si="118"/>
        <v>1</v>
      </c>
      <c r="AD156" s="120">
        <f t="shared" si="118"/>
        <v>1</v>
      </c>
      <c r="AE156" s="120">
        <f t="shared" si="118"/>
        <v>0</v>
      </c>
      <c r="AF156" s="120">
        <f t="shared" si="118"/>
        <v>0</v>
      </c>
      <c r="AG156" s="120">
        <f t="shared" si="118"/>
        <v>1</v>
      </c>
      <c r="AH156" s="120">
        <f t="shared" si="118"/>
        <v>0</v>
      </c>
      <c r="AI156" s="120">
        <f t="shared" si="118"/>
        <v>0</v>
      </c>
      <c r="AJ156" s="120">
        <f t="shared" si="118"/>
        <v>0</v>
      </c>
      <c r="AK156" s="120">
        <f t="shared" si="118"/>
        <v>0</v>
      </c>
      <c r="AL156" s="120">
        <f t="shared" si="118"/>
        <v>0</v>
      </c>
      <c r="AM156" s="120">
        <f t="shared" si="118"/>
        <v>0.5</v>
      </c>
      <c r="AN156" s="120">
        <f t="shared" si="118"/>
        <v>0</v>
      </c>
      <c r="AO156" s="120">
        <f t="shared" si="118"/>
        <v>0</v>
      </c>
      <c r="AP156" s="120">
        <f t="shared" si="117"/>
        <v>0</v>
      </c>
      <c r="AQ156" s="120">
        <f t="shared" si="117"/>
        <v>0</v>
      </c>
      <c r="AR156" s="120">
        <f t="shared" si="117"/>
        <v>0</v>
      </c>
      <c r="AS156" s="120">
        <f t="shared" si="117"/>
        <v>0</v>
      </c>
      <c r="AT156" s="120">
        <f t="shared" si="117"/>
        <v>0</v>
      </c>
      <c r="AU156" s="120">
        <f t="shared" si="117"/>
        <v>1</v>
      </c>
      <c r="AV156" s="120">
        <f t="shared" si="117"/>
        <v>1</v>
      </c>
      <c r="AW156" s="120">
        <f t="shared" si="117"/>
        <v>0</v>
      </c>
      <c r="AX156" s="120">
        <f t="shared" si="117"/>
        <v>0</v>
      </c>
      <c r="AY156" s="120">
        <f t="shared" si="115"/>
        <v>5.5</v>
      </c>
      <c r="AZ156" s="20" t="s">
        <v>136</v>
      </c>
    </row>
    <row r="157" spans="1:52">
      <c r="A157" s="120" t="s">
        <v>165</v>
      </c>
      <c r="B157" s="120">
        <f t="shared" si="119"/>
        <v>1</v>
      </c>
      <c r="C157" s="120">
        <f t="shared" si="119"/>
        <v>1</v>
      </c>
      <c r="D157" s="120">
        <f t="shared" si="119"/>
        <v>1</v>
      </c>
      <c r="E157" s="120">
        <f t="shared" si="119"/>
        <v>1</v>
      </c>
      <c r="F157" s="120">
        <f t="shared" si="119"/>
        <v>0</v>
      </c>
      <c r="G157" s="120">
        <f t="shared" si="119"/>
        <v>1</v>
      </c>
      <c r="H157" s="120">
        <f t="shared" si="119"/>
        <v>0</v>
      </c>
      <c r="I157" s="120">
        <f t="shared" si="119"/>
        <v>1</v>
      </c>
      <c r="J157" s="120">
        <f t="shared" si="119"/>
        <v>0</v>
      </c>
      <c r="K157" s="120">
        <f t="shared" si="119"/>
        <v>1</v>
      </c>
      <c r="L157" s="120">
        <f t="shared" si="119"/>
        <v>1</v>
      </c>
      <c r="M157" s="120">
        <f t="shared" si="119"/>
        <v>0</v>
      </c>
      <c r="N157" s="120">
        <f t="shared" si="119"/>
        <v>1</v>
      </c>
      <c r="O157" s="120">
        <f t="shared" si="119"/>
        <v>0</v>
      </c>
      <c r="P157" s="120">
        <f t="shared" si="119"/>
        <v>1</v>
      </c>
      <c r="Q157" s="120">
        <f t="shared" si="119"/>
        <v>0</v>
      </c>
      <c r="R157" s="120">
        <f t="shared" si="119"/>
        <v>0</v>
      </c>
      <c r="S157" s="120">
        <f t="shared" si="119"/>
        <v>0</v>
      </c>
      <c r="T157" s="120">
        <f t="shared" si="119"/>
        <v>0</v>
      </c>
      <c r="U157" s="120">
        <f t="shared" si="119"/>
        <v>1</v>
      </c>
      <c r="V157" s="120">
        <f t="shared" si="119"/>
        <v>1</v>
      </c>
      <c r="W157" s="120">
        <f t="shared" si="119"/>
        <v>1</v>
      </c>
      <c r="X157" s="120">
        <f t="shared" si="119"/>
        <v>0</v>
      </c>
      <c r="Y157" s="120">
        <f t="shared" si="113"/>
        <v>0</v>
      </c>
      <c r="AA157" s="120">
        <f t="shared" si="118"/>
        <v>1</v>
      </c>
      <c r="AB157" s="120">
        <f t="shared" si="118"/>
        <v>1</v>
      </c>
      <c r="AC157" s="120">
        <f t="shared" si="118"/>
        <v>1</v>
      </c>
      <c r="AD157" s="120">
        <f t="shared" si="118"/>
        <v>1</v>
      </c>
      <c r="AE157" s="120">
        <f t="shared" si="118"/>
        <v>0</v>
      </c>
      <c r="AF157" s="120">
        <f t="shared" si="118"/>
        <v>1</v>
      </c>
      <c r="AG157" s="120">
        <f t="shared" si="118"/>
        <v>0</v>
      </c>
      <c r="AH157" s="120">
        <f t="shared" si="118"/>
        <v>1</v>
      </c>
      <c r="AI157" s="120">
        <f t="shared" si="118"/>
        <v>0</v>
      </c>
      <c r="AJ157" s="120">
        <f t="shared" si="118"/>
        <v>1</v>
      </c>
      <c r="AK157" s="120">
        <f t="shared" si="118"/>
        <v>1</v>
      </c>
      <c r="AL157" s="120">
        <f t="shared" si="118"/>
        <v>0</v>
      </c>
      <c r="AM157" s="120">
        <f t="shared" si="118"/>
        <v>1</v>
      </c>
      <c r="AN157" s="120">
        <f t="shared" si="118"/>
        <v>0</v>
      </c>
      <c r="AO157" s="120">
        <f t="shared" si="118"/>
        <v>1</v>
      </c>
      <c r="AP157" s="120">
        <f t="shared" si="117"/>
        <v>0</v>
      </c>
      <c r="AQ157" s="120">
        <f t="shared" si="117"/>
        <v>0</v>
      </c>
      <c r="AR157" s="120">
        <f t="shared" si="117"/>
        <v>0</v>
      </c>
      <c r="AS157" s="120">
        <f t="shared" si="117"/>
        <v>0</v>
      </c>
      <c r="AT157" s="120">
        <f t="shared" si="117"/>
        <v>1</v>
      </c>
      <c r="AU157" s="120">
        <f t="shared" si="117"/>
        <v>1</v>
      </c>
      <c r="AV157" s="120">
        <f t="shared" si="117"/>
        <v>1</v>
      </c>
      <c r="AW157" s="120">
        <f t="shared" si="117"/>
        <v>0</v>
      </c>
      <c r="AX157" s="120">
        <f t="shared" si="117"/>
        <v>0</v>
      </c>
      <c r="AY157" s="120">
        <f t="shared" si="115"/>
        <v>13</v>
      </c>
      <c r="AZ157" s="20" t="s">
        <v>136</v>
      </c>
    </row>
    <row r="158" spans="1:52">
      <c r="A158" s="120" t="s">
        <v>166</v>
      </c>
      <c r="B158" s="120">
        <f t="shared" si="119"/>
        <v>0</v>
      </c>
      <c r="C158" s="120">
        <f t="shared" si="119"/>
        <v>1</v>
      </c>
      <c r="D158" s="120">
        <f t="shared" si="119"/>
        <v>1</v>
      </c>
      <c r="E158" s="120">
        <f t="shared" si="119"/>
        <v>1</v>
      </c>
      <c r="F158" s="120">
        <f t="shared" si="119"/>
        <v>1</v>
      </c>
      <c r="G158" s="120">
        <f t="shared" si="119"/>
        <v>0</v>
      </c>
      <c r="H158" s="120">
        <f t="shared" si="119"/>
        <v>1</v>
      </c>
      <c r="I158" s="120">
        <f t="shared" si="119"/>
        <v>0</v>
      </c>
      <c r="J158" s="120">
        <f t="shared" si="119"/>
        <v>1</v>
      </c>
      <c r="K158" s="120">
        <f t="shared" si="119"/>
        <v>1</v>
      </c>
      <c r="L158" s="120">
        <f t="shared" si="119"/>
        <v>0</v>
      </c>
      <c r="M158" s="120">
        <f t="shared" si="119"/>
        <v>0</v>
      </c>
      <c r="N158" s="120">
        <f t="shared" si="119"/>
        <v>0</v>
      </c>
      <c r="O158" s="120">
        <f t="shared" si="119"/>
        <v>0</v>
      </c>
      <c r="P158" s="120">
        <f t="shared" si="119"/>
        <v>1</v>
      </c>
      <c r="Q158" s="120">
        <f t="shared" si="119"/>
        <v>1</v>
      </c>
      <c r="R158" s="120">
        <f t="shared" si="119"/>
        <v>1</v>
      </c>
      <c r="S158" s="120">
        <f t="shared" si="119"/>
        <v>0</v>
      </c>
      <c r="T158" s="120">
        <f t="shared" si="119"/>
        <v>0</v>
      </c>
      <c r="U158" s="120">
        <f t="shared" si="119"/>
        <v>1</v>
      </c>
      <c r="V158" s="120">
        <f t="shared" si="119"/>
        <v>1</v>
      </c>
      <c r="W158" s="120">
        <f t="shared" si="119"/>
        <v>1</v>
      </c>
      <c r="X158" s="120">
        <f t="shared" si="119"/>
        <v>0</v>
      </c>
      <c r="Y158" s="120">
        <f t="shared" si="113"/>
        <v>0</v>
      </c>
      <c r="AA158" s="120">
        <f t="shared" si="118"/>
        <v>0</v>
      </c>
      <c r="AB158" s="120">
        <f t="shared" si="118"/>
        <v>1</v>
      </c>
      <c r="AC158" s="120">
        <f t="shared" si="118"/>
        <v>1</v>
      </c>
      <c r="AD158" s="120">
        <f t="shared" si="118"/>
        <v>1</v>
      </c>
      <c r="AE158" s="120">
        <f t="shared" si="118"/>
        <v>1</v>
      </c>
      <c r="AF158" s="120">
        <f t="shared" si="118"/>
        <v>0</v>
      </c>
      <c r="AG158" s="120">
        <f t="shared" si="118"/>
        <v>1</v>
      </c>
      <c r="AH158" s="120">
        <f t="shared" si="118"/>
        <v>0</v>
      </c>
      <c r="AI158" s="120">
        <f t="shared" si="118"/>
        <v>1</v>
      </c>
      <c r="AJ158" s="120">
        <f t="shared" si="118"/>
        <v>1</v>
      </c>
      <c r="AK158" s="120">
        <f t="shared" si="118"/>
        <v>0</v>
      </c>
      <c r="AL158" s="120">
        <f t="shared" si="118"/>
        <v>0</v>
      </c>
      <c r="AM158" s="120">
        <f t="shared" si="118"/>
        <v>0</v>
      </c>
      <c r="AN158" s="120">
        <f t="shared" si="118"/>
        <v>0</v>
      </c>
      <c r="AO158" s="120">
        <f t="shared" si="118"/>
        <v>0.5</v>
      </c>
      <c r="AP158" s="120">
        <f t="shared" si="117"/>
        <v>0.5</v>
      </c>
      <c r="AQ158" s="120">
        <f t="shared" si="117"/>
        <v>0.5</v>
      </c>
      <c r="AR158" s="120">
        <f t="shared" si="117"/>
        <v>0</v>
      </c>
      <c r="AS158" s="120">
        <f t="shared" si="117"/>
        <v>0</v>
      </c>
      <c r="AT158" s="120">
        <f t="shared" si="117"/>
        <v>1</v>
      </c>
      <c r="AU158" s="120">
        <f t="shared" si="117"/>
        <v>1</v>
      </c>
      <c r="AV158" s="120">
        <f t="shared" si="117"/>
        <v>1</v>
      </c>
      <c r="AW158" s="120">
        <f t="shared" si="117"/>
        <v>0</v>
      </c>
      <c r="AX158" s="120">
        <f t="shared" si="117"/>
        <v>0</v>
      </c>
      <c r="AY158" s="120">
        <f t="shared" si="115"/>
        <v>11.5</v>
      </c>
      <c r="AZ158" s="20" t="s">
        <v>136</v>
      </c>
    </row>
    <row r="159" spans="1:52">
      <c r="A159" s="120" t="s">
        <v>167</v>
      </c>
      <c r="B159" s="120">
        <f t="shared" si="119"/>
        <v>1</v>
      </c>
      <c r="C159" s="120">
        <f t="shared" si="119"/>
        <v>1</v>
      </c>
      <c r="D159" s="120">
        <f t="shared" si="119"/>
        <v>1</v>
      </c>
      <c r="E159" s="120">
        <f t="shared" si="119"/>
        <v>1</v>
      </c>
      <c r="F159" s="120">
        <f t="shared" si="119"/>
        <v>1</v>
      </c>
      <c r="G159" s="120">
        <f t="shared" si="119"/>
        <v>1</v>
      </c>
      <c r="H159" s="120">
        <f t="shared" si="119"/>
        <v>1</v>
      </c>
      <c r="I159" s="120">
        <f t="shared" si="119"/>
        <v>0</v>
      </c>
      <c r="J159" s="120">
        <f t="shared" si="119"/>
        <v>1</v>
      </c>
      <c r="K159" s="120">
        <f t="shared" si="119"/>
        <v>0</v>
      </c>
      <c r="L159" s="120">
        <f t="shared" si="119"/>
        <v>0</v>
      </c>
      <c r="M159" s="120">
        <f t="shared" si="119"/>
        <v>0</v>
      </c>
      <c r="N159" s="120">
        <f t="shared" si="119"/>
        <v>0</v>
      </c>
      <c r="O159" s="120">
        <f t="shared" si="119"/>
        <v>0</v>
      </c>
      <c r="P159" s="120">
        <f t="shared" si="119"/>
        <v>0</v>
      </c>
      <c r="Q159" s="120">
        <f t="shared" si="119"/>
        <v>0</v>
      </c>
      <c r="R159" s="120">
        <f t="shared" si="119"/>
        <v>0</v>
      </c>
      <c r="S159" s="120">
        <f t="shared" si="119"/>
        <v>1</v>
      </c>
      <c r="T159" s="120">
        <f t="shared" si="119"/>
        <v>1</v>
      </c>
      <c r="U159" s="120">
        <f t="shared" si="119"/>
        <v>1</v>
      </c>
      <c r="V159" s="120">
        <f t="shared" si="119"/>
        <v>1</v>
      </c>
      <c r="W159" s="120">
        <f t="shared" si="119"/>
        <v>1</v>
      </c>
      <c r="X159" s="120">
        <f t="shared" si="119"/>
        <v>0</v>
      </c>
      <c r="Y159" s="120">
        <f t="shared" si="113"/>
        <v>0</v>
      </c>
      <c r="AA159" s="120">
        <f t="shared" si="118"/>
        <v>1</v>
      </c>
      <c r="AB159" s="120">
        <f t="shared" si="118"/>
        <v>1</v>
      </c>
      <c r="AC159" s="120">
        <f t="shared" si="118"/>
        <v>1</v>
      </c>
      <c r="AD159" s="120">
        <f t="shared" si="118"/>
        <v>1</v>
      </c>
      <c r="AE159" s="120">
        <f t="shared" si="118"/>
        <v>1</v>
      </c>
      <c r="AF159" s="120">
        <f t="shared" si="118"/>
        <v>1</v>
      </c>
      <c r="AG159" s="120">
        <f t="shared" si="118"/>
        <v>1</v>
      </c>
      <c r="AH159" s="120">
        <f t="shared" si="118"/>
        <v>0</v>
      </c>
      <c r="AI159" s="120">
        <f t="shared" si="118"/>
        <v>1</v>
      </c>
      <c r="AJ159" s="120">
        <f t="shared" si="118"/>
        <v>0</v>
      </c>
      <c r="AK159" s="120">
        <f t="shared" si="118"/>
        <v>0</v>
      </c>
      <c r="AL159" s="120">
        <f t="shared" si="118"/>
        <v>0</v>
      </c>
      <c r="AM159" s="120">
        <f t="shared" si="118"/>
        <v>0</v>
      </c>
      <c r="AN159" s="120">
        <f t="shared" si="118"/>
        <v>0</v>
      </c>
      <c r="AO159" s="120">
        <f t="shared" si="118"/>
        <v>0</v>
      </c>
      <c r="AP159" s="120">
        <f t="shared" si="117"/>
        <v>0</v>
      </c>
      <c r="AQ159" s="120">
        <f t="shared" si="117"/>
        <v>0</v>
      </c>
      <c r="AR159" s="120">
        <f t="shared" si="117"/>
        <v>1</v>
      </c>
      <c r="AS159" s="120">
        <f t="shared" si="117"/>
        <v>1</v>
      </c>
      <c r="AT159" s="120">
        <f t="shared" si="117"/>
        <v>1</v>
      </c>
      <c r="AU159" s="120">
        <f t="shared" si="117"/>
        <v>1</v>
      </c>
      <c r="AV159" s="120">
        <f t="shared" si="117"/>
        <v>1</v>
      </c>
      <c r="AW159" s="120">
        <f t="shared" si="117"/>
        <v>0</v>
      </c>
      <c r="AX159" s="120">
        <f t="shared" si="117"/>
        <v>0</v>
      </c>
      <c r="AY159" s="120">
        <f t="shared" si="115"/>
        <v>13</v>
      </c>
      <c r="AZ159" s="20" t="s">
        <v>136</v>
      </c>
    </row>
    <row r="160" spans="1:52">
      <c r="A160" s="120" t="s">
        <v>168</v>
      </c>
      <c r="B160" s="120">
        <f t="shared" si="119"/>
        <v>1</v>
      </c>
      <c r="C160" s="120">
        <f t="shared" si="119"/>
        <v>1</v>
      </c>
      <c r="D160" s="120">
        <f t="shared" si="119"/>
        <v>0</v>
      </c>
      <c r="E160" s="120">
        <f t="shared" si="119"/>
        <v>1</v>
      </c>
      <c r="F160" s="120">
        <f t="shared" ref="B160:X167" si="120">IF(IFERROR(FIND($A$136,F28,1),0)=0,0,1)</f>
        <v>1</v>
      </c>
      <c r="G160" s="120">
        <f t="shared" si="120"/>
        <v>1</v>
      </c>
      <c r="H160" s="120">
        <f t="shared" si="120"/>
        <v>1</v>
      </c>
      <c r="I160" s="120">
        <f t="shared" si="120"/>
        <v>1</v>
      </c>
      <c r="J160" s="120">
        <f t="shared" si="120"/>
        <v>1</v>
      </c>
      <c r="K160" s="120">
        <f t="shared" si="120"/>
        <v>1</v>
      </c>
      <c r="L160" s="120">
        <f t="shared" si="120"/>
        <v>0</v>
      </c>
      <c r="M160" s="120">
        <f t="shared" si="120"/>
        <v>0</v>
      </c>
      <c r="N160" s="120">
        <f t="shared" si="120"/>
        <v>1</v>
      </c>
      <c r="O160" s="120">
        <f t="shared" si="120"/>
        <v>0</v>
      </c>
      <c r="P160" s="120">
        <f t="shared" si="120"/>
        <v>0</v>
      </c>
      <c r="Q160" s="120">
        <f t="shared" si="120"/>
        <v>0</v>
      </c>
      <c r="R160" s="120">
        <f t="shared" si="120"/>
        <v>1</v>
      </c>
      <c r="S160" s="120">
        <f t="shared" si="120"/>
        <v>1</v>
      </c>
      <c r="T160" s="120">
        <f t="shared" si="120"/>
        <v>0</v>
      </c>
      <c r="U160" s="120">
        <f t="shared" si="120"/>
        <v>1</v>
      </c>
      <c r="V160" s="120">
        <f t="shared" si="120"/>
        <v>0</v>
      </c>
      <c r="W160" s="120">
        <f t="shared" si="120"/>
        <v>1</v>
      </c>
      <c r="X160" s="120">
        <f t="shared" si="120"/>
        <v>0</v>
      </c>
      <c r="Y160" s="120">
        <f t="shared" si="113"/>
        <v>0</v>
      </c>
      <c r="AA160" s="120">
        <f t="shared" si="118"/>
        <v>1</v>
      </c>
      <c r="AB160" s="120">
        <f t="shared" si="118"/>
        <v>1</v>
      </c>
      <c r="AC160" s="120">
        <f t="shared" si="118"/>
        <v>0</v>
      </c>
      <c r="AD160" s="120">
        <f t="shared" si="118"/>
        <v>0.5</v>
      </c>
      <c r="AE160" s="120">
        <f t="shared" si="118"/>
        <v>0.5</v>
      </c>
      <c r="AF160" s="120">
        <f t="shared" si="118"/>
        <v>0.5</v>
      </c>
      <c r="AG160" s="120">
        <f t="shared" si="118"/>
        <v>1</v>
      </c>
      <c r="AH160" s="120">
        <f t="shared" si="118"/>
        <v>1</v>
      </c>
      <c r="AI160" s="120">
        <f t="shared" si="118"/>
        <v>1</v>
      </c>
      <c r="AJ160" s="120">
        <f t="shared" si="118"/>
        <v>1</v>
      </c>
      <c r="AK160" s="120">
        <f t="shared" si="118"/>
        <v>0</v>
      </c>
      <c r="AL160" s="120">
        <f t="shared" si="118"/>
        <v>0</v>
      </c>
      <c r="AM160" s="120">
        <f t="shared" si="118"/>
        <v>1</v>
      </c>
      <c r="AN160" s="120">
        <f t="shared" si="118"/>
        <v>0</v>
      </c>
      <c r="AO160" s="120">
        <f t="shared" si="118"/>
        <v>0</v>
      </c>
      <c r="AP160" s="120">
        <f t="shared" si="117"/>
        <v>0</v>
      </c>
      <c r="AQ160" s="120">
        <f t="shared" si="117"/>
        <v>1</v>
      </c>
      <c r="AR160" s="120">
        <f t="shared" si="117"/>
        <v>1</v>
      </c>
      <c r="AS160" s="120">
        <f t="shared" si="117"/>
        <v>0</v>
      </c>
      <c r="AT160" s="120">
        <f t="shared" si="117"/>
        <v>1</v>
      </c>
      <c r="AU160" s="120">
        <f t="shared" si="117"/>
        <v>0</v>
      </c>
      <c r="AV160" s="120">
        <f t="shared" si="117"/>
        <v>1</v>
      </c>
      <c r="AW160" s="120">
        <f t="shared" si="117"/>
        <v>0</v>
      </c>
      <c r="AX160" s="120">
        <f t="shared" si="117"/>
        <v>0</v>
      </c>
      <c r="AY160" s="120">
        <f t="shared" si="115"/>
        <v>12.5</v>
      </c>
      <c r="AZ160" s="20" t="s">
        <v>136</v>
      </c>
    </row>
    <row r="161" spans="1:52">
      <c r="A161" s="120" t="s">
        <v>169</v>
      </c>
      <c r="B161" s="120">
        <f t="shared" si="120"/>
        <v>1</v>
      </c>
      <c r="C161" s="120">
        <f t="shared" si="120"/>
        <v>1</v>
      </c>
      <c r="D161" s="120">
        <f t="shared" si="120"/>
        <v>1</v>
      </c>
      <c r="E161" s="120">
        <f t="shared" si="120"/>
        <v>1</v>
      </c>
      <c r="F161" s="120">
        <f t="shared" si="120"/>
        <v>0</v>
      </c>
      <c r="G161" s="120">
        <f t="shared" si="120"/>
        <v>0</v>
      </c>
      <c r="H161" s="120">
        <f t="shared" si="120"/>
        <v>1</v>
      </c>
      <c r="I161" s="120">
        <f t="shared" si="120"/>
        <v>1</v>
      </c>
      <c r="J161" s="120">
        <f t="shared" si="120"/>
        <v>0</v>
      </c>
      <c r="K161" s="120">
        <f t="shared" si="120"/>
        <v>1</v>
      </c>
      <c r="L161" s="120">
        <f t="shared" si="120"/>
        <v>1</v>
      </c>
      <c r="M161" s="120">
        <f t="shared" si="120"/>
        <v>0</v>
      </c>
      <c r="N161" s="120">
        <f t="shared" si="120"/>
        <v>0</v>
      </c>
      <c r="O161" s="120">
        <f t="shared" si="120"/>
        <v>0</v>
      </c>
      <c r="P161" s="120">
        <f t="shared" si="120"/>
        <v>1</v>
      </c>
      <c r="Q161" s="120">
        <f t="shared" si="120"/>
        <v>0</v>
      </c>
      <c r="R161" s="120">
        <f t="shared" si="120"/>
        <v>0</v>
      </c>
      <c r="S161" s="120">
        <f t="shared" si="120"/>
        <v>1</v>
      </c>
      <c r="T161" s="120">
        <f t="shared" si="120"/>
        <v>0</v>
      </c>
      <c r="U161" s="120">
        <f t="shared" si="120"/>
        <v>1</v>
      </c>
      <c r="V161" s="120">
        <f t="shared" si="120"/>
        <v>1</v>
      </c>
      <c r="W161" s="120">
        <f t="shared" si="120"/>
        <v>1</v>
      </c>
      <c r="X161" s="120">
        <f t="shared" si="120"/>
        <v>1</v>
      </c>
      <c r="Y161" s="120">
        <f t="shared" si="113"/>
        <v>0</v>
      </c>
      <c r="AA161" s="120">
        <f t="shared" si="118"/>
        <v>1</v>
      </c>
      <c r="AB161" s="120">
        <f t="shared" si="118"/>
        <v>1</v>
      </c>
      <c r="AC161" s="120">
        <f t="shared" si="118"/>
        <v>1</v>
      </c>
      <c r="AD161" s="120">
        <f t="shared" si="118"/>
        <v>1</v>
      </c>
      <c r="AE161" s="120">
        <f t="shared" si="118"/>
        <v>0</v>
      </c>
      <c r="AF161" s="120">
        <f t="shared" si="118"/>
        <v>0</v>
      </c>
      <c r="AG161" s="120">
        <f t="shared" si="118"/>
        <v>1</v>
      </c>
      <c r="AH161" s="120">
        <f t="shared" si="118"/>
        <v>1</v>
      </c>
      <c r="AI161" s="120">
        <f t="shared" si="118"/>
        <v>0</v>
      </c>
      <c r="AJ161" s="120">
        <f t="shared" si="118"/>
        <v>0.5</v>
      </c>
      <c r="AK161" s="120">
        <f t="shared" si="118"/>
        <v>1</v>
      </c>
      <c r="AL161" s="120">
        <f t="shared" si="118"/>
        <v>0</v>
      </c>
      <c r="AM161" s="120">
        <f t="shared" si="118"/>
        <v>0</v>
      </c>
      <c r="AN161" s="120">
        <f t="shared" si="118"/>
        <v>0</v>
      </c>
      <c r="AO161" s="120">
        <f t="shared" si="118"/>
        <v>1</v>
      </c>
      <c r="AP161" s="120">
        <f t="shared" si="117"/>
        <v>0</v>
      </c>
      <c r="AQ161" s="120">
        <f t="shared" si="117"/>
        <v>0</v>
      </c>
      <c r="AR161" s="120">
        <f t="shared" si="117"/>
        <v>1</v>
      </c>
      <c r="AS161" s="120">
        <f t="shared" si="117"/>
        <v>0</v>
      </c>
      <c r="AT161" s="120">
        <f t="shared" si="117"/>
        <v>1</v>
      </c>
      <c r="AU161" s="120">
        <f t="shared" si="117"/>
        <v>1</v>
      </c>
      <c r="AV161" s="120">
        <f t="shared" si="117"/>
        <v>1</v>
      </c>
      <c r="AW161" s="120">
        <f t="shared" si="117"/>
        <v>1</v>
      </c>
      <c r="AX161" s="120">
        <f t="shared" si="117"/>
        <v>0</v>
      </c>
      <c r="AY161" s="120">
        <f t="shared" si="115"/>
        <v>13.5</v>
      </c>
      <c r="AZ161" s="20" t="s">
        <v>136</v>
      </c>
    </row>
    <row r="162" spans="1:52">
      <c r="A162" s="120" t="s">
        <v>170</v>
      </c>
      <c r="B162" s="120">
        <f t="shared" si="120"/>
        <v>0</v>
      </c>
      <c r="C162" s="120">
        <f t="shared" si="120"/>
        <v>0</v>
      </c>
      <c r="D162" s="120">
        <f t="shared" si="120"/>
        <v>1</v>
      </c>
      <c r="E162" s="120">
        <f t="shared" si="120"/>
        <v>0</v>
      </c>
      <c r="F162" s="120">
        <f t="shared" si="120"/>
        <v>0</v>
      </c>
      <c r="G162" s="120">
        <f t="shared" si="120"/>
        <v>0</v>
      </c>
      <c r="H162" s="120">
        <f t="shared" si="120"/>
        <v>0</v>
      </c>
      <c r="I162" s="120">
        <f t="shared" si="120"/>
        <v>1</v>
      </c>
      <c r="J162" s="120">
        <f t="shared" si="120"/>
        <v>1</v>
      </c>
      <c r="K162" s="120">
        <f t="shared" si="120"/>
        <v>0</v>
      </c>
      <c r="L162" s="120">
        <f t="shared" si="120"/>
        <v>0</v>
      </c>
      <c r="M162" s="120">
        <f t="shared" si="120"/>
        <v>0</v>
      </c>
      <c r="N162" s="120">
        <f t="shared" si="120"/>
        <v>1</v>
      </c>
      <c r="O162" s="120">
        <f t="shared" si="120"/>
        <v>1</v>
      </c>
      <c r="P162" s="120">
        <f t="shared" si="120"/>
        <v>1</v>
      </c>
      <c r="Q162" s="120">
        <f t="shared" si="120"/>
        <v>1</v>
      </c>
      <c r="R162" s="120">
        <f t="shared" si="120"/>
        <v>1</v>
      </c>
      <c r="S162" s="120">
        <f t="shared" si="120"/>
        <v>0</v>
      </c>
      <c r="T162" s="120">
        <f t="shared" si="120"/>
        <v>1</v>
      </c>
      <c r="U162" s="120">
        <f t="shared" si="120"/>
        <v>0</v>
      </c>
      <c r="V162" s="120">
        <f t="shared" si="120"/>
        <v>1</v>
      </c>
      <c r="W162" s="120">
        <f t="shared" si="120"/>
        <v>1</v>
      </c>
      <c r="X162" s="120">
        <f t="shared" si="120"/>
        <v>0</v>
      </c>
      <c r="Y162" s="120">
        <f t="shared" si="113"/>
        <v>0</v>
      </c>
      <c r="AA162" s="120">
        <f t="shared" si="118"/>
        <v>0</v>
      </c>
      <c r="AB162" s="120">
        <f t="shared" si="118"/>
        <v>0</v>
      </c>
      <c r="AC162" s="120">
        <f t="shared" si="118"/>
        <v>0.5</v>
      </c>
      <c r="AD162" s="120">
        <f t="shared" si="118"/>
        <v>0</v>
      </c>
      <c r="AE162" s="120">
        <f t="shared" si="118"/>
        <v>0</v>
      </c>
      <c r="AF162" s="120">
        <f t="shared" si="118"/>
        <v>0</v>
      </c>
      <c r="AG162" s="120">
        <f t="shared" si="118"/>
        <v>0</v>
      </c>
      <c r="AH162" s="120">
        <f t="shared" si="118"/>
        <v>1</v>
      </c>
      <c r="AI162" s="120">
        <f t="shared" si="118"/>
        <v>0.5</v>
      </c>
      <c r="AJ162" s="120">
        <f t="shared" si="118"/>
        <v>0</v>
      </c>
      <c r="AK162" s="120">
        <f t="shared" si="118"/>
        <v>0</v>
      </c>
      <c r="AL162" s="120">
        <f t="shared" si="118"/>
        <v>0</v>
      </c>
      <c r="AM162" s="120">
        <f t="shared" si="118"/>
        <v>0.5</v>
      </c>
      <c r="AN162" s="120">
        <f t="shared" si="118"/>
        <v>0.5</v>
      </c>
      <c r="AO162" s="120">
        <f t="shared" si="118"/>
        <v>0.5</v>
      </c>
      <c r="AP162" s="120">
        <f t="shared" si="117"/>
        <v>0.5</v>
      </c>
      <c r="AQ162" s="120">
        <f t="shared" si="117"/>
        <v>0.5</v>
      </c>
      <c r="AR162" s="120">
        <f t="shared" si="117"/>
        <v>0</v>
      </c>
      <c r="AS162" s="120">
        <f t="shared" si="117"/>
        <v>1</v>
      </c>
      <c r="AT162" s="120">
        <f t="shared" si="117"/>
        <v>0</v>
      </c>
      <c r="AU162" s="120">
        <f t="shared" si="117"/>
        <v>0.5</v>
      </c>
      <c r="AV162" s="120">
        <f t="shared" si="117"/>
        <v>1</v>
      </c>
      <c r="AW162" s="120">
        <f t="shared" si="117"/>
        <v>0</v>
      </c>
      <c r="AX162" s="120">
        <f t="shared" si="117"/>
        <v>0</v>
      </c>
      <c r="AY162" s="120">
        <f t="shared" si="115"/>
        <v>7</v>
      </c>
      <c r="AZ162" s="20" t="s">
        <v>136</v>
      </c>
    </row>
    <row r="163" spans="1:52">
      <c r="A163" s="120" t="s">
        <v>171</v>
      </c>
      <c r="B163" s="120">
        <f t="shared" si="120"/>
        <v>1</v>
      </c>
      <c r="C163" s="120">
        <f t="shared" si="120"/>
        <v>0</v>
      </c>
      <c r="D163" s="120">
        <f t="shared" si="120"/>
        <v>0</v>
      </c>
      <c r="E163" s="120">
        <f t="shared" si="120"/>
        <v>0</v>
      </c>
      <c r="F163" s="120">
        <f t="shared" si="120"/>
        <v>0</v>
      </c>
      <c r="G163" s="120">
        <f t="shared" si="120"/>
        <v>0</v>
      </c>
      <c r="H163" s="120">
        <f t="shared" si="120"/>
        <v>0</v>
      </c>
      <c r="I163" s="120">
        <f t="shared" si="120"/>
        <v>1</v>
      </c>
      <c r="J163" s="120">
        <f t="shared" si="120"/>
        <v>0</v>
      </c>
      <c r="K163" s="120">
        <f t="shared" si="120"/>
        <v>0</v>
      </c>
      <c r="L163" s="120">
        <f t="shared" si="120"/>
        <v>0</v>
      </c>
      <c r="M163" s="120">
        <f t="shared" si="120"/>
        <v>0</v>
      </c>
      <c r="N163" s="120">
        <f t="shared" si="120"/>
        <v>0</v>
      </c>
      <c r="O163" s="120">
        <f t="shared" si="120"/>
        <v>0</v>
      </c>
      <c r="P163" s="120">
        <f t="shared" si="120"/>
        <v>0</v>
      </c>
      <c r="Q163" s="120">
        <f t="shared" si="120"/>
        <v>0</v>
      </c>
      <c r="R163" s="120">
        <f t="shared" si="120"/>
        <v>0</v>
      </c>
      <c r="S163" s="120">
        <f t="shared" si="120"/>
        <v>0</v>
      </c>
      <c r="T163" s="120">
        <f t="shared" si="120"/>
        <v>1</v>
      </c>
      <c r="U163" s="120">
        <f t="shared" si="120"/>
        <v>1</v>
      </c>
      <c r="V163" s="120">
        <f t="shared" si="120"/>
        <v>0</v>
      </c>
      <c r="W163" s="120">
        <f t="shared" si="120"/>
        <v>1</v>
      </c>
      <c r="X163" s="120">
        <f t="shared" si="120"/>
        <v>0</v>
      </c>
      <c r="Y163" s="120">
        <f t="shared" si="113"/>
        <v>1</v>
      </c>
      <c r="AA163" s="120">
        <f t="shared" si="118"/>
        <v>0.5</v>
      </c>
      <c r="AB163" s="120">
        <f t="shared" si="118"/>
        <v>0</v>
      </c>
      <c r="AC163" s="120">
        <f t="shared" si="118"/>
        <v>0</v>
      </c>
      <c r="AD163" s="120">
        <f t="shared" si="118"/>
        <v>0</v>
      </c>
      <c r="AE163" s="120">
        <f t="shared" si="118"/>
        <v>0</v>
      </c>
      <c r="AF163" s="120">
        <f t="shared" si="118"/>
        <v>0</v>
      </c>
      <c r="AG163" s="120">
        <f t="shared" si="118"/>
        <v>0</v>
      </c>
      <c r="AH163" s="120">
        <f t="shared" si="118"/>
        <v>1</v>
      </c>
      <c r="AI163" s="120">
        <f t="shared" si="118"/>
        <v>0</v>
      </c>
      <c r="AJ163" s="120">
        <f t="shared" si="118"/>
        <v>0</v>
      </c>
      <c r="AK163" s="120">
        <f t="shared" si="118"/>
        <v>0</v>
      </c>
      <c r="AL163" s="120">
        <f t="shared" si="118"/>
        <v>0</v>
      </c>
      <c r="AM163" s="120">
        <f t="shared" si="118"/>
        <v>0</v>
      </c>
      <c r="AN163" s="120">
        <f t="shared" si="118"/>
        <v>0</v>
      </c>
      <c r="AO163" s="120">
        <f t="shared" si="118"/>
        <v>0</v>
      </c>
      <c r="AP163" s="120">
        <f t="shared" si="118"/>
        <v>0</v>
      </c>
      <c r="AQ163" s="120">
        <f t="shared" ref="AQ163:AX167" si="121">IF(R163=0,0,R163/AQ31)</f>
        <v>0</v>
      </c>
      <c r="AR163" s="120">
        <f t="shared" si="121"/>
        <v>0</v>
      </c>
      <c r="AS163" s="120">
        <f t="shared" si="121"/>
        <v>1</v>
      </c>
      <c r="AT163" s="120">
        <f t="shared" si="121"/>
        <v>1</v>
      </c>
      <c r="AU163" s="120">
        <f t="shared" si="121"/>
        <v>0</v>
      </c>
      <c r="AV163" s="120">
        <f t="shared" si="121"/>
        <v>1</v>
      </c>
      <c r="AW163" s="120">
        <f t="shared" si="121"/>
        <v>0</v>
      </c>
      <c r="AX163" s="120">
        <f t="shared" si="121"/>
        <v>1</v>
      </c>
      <c r="AY163" s="120">
        <f t="shared" si="115"/>
        <v>5.5</v>
      </c>
      <c r="AZ163" s="20" t="s">
        <v>136</v>
      </c>
    </row>
    <row r="164" spans="1:52">
      <c r="A164" s="120" t="s">
        <v>172</v>
      </c>
      <c r="B164" s="120">
        <f t="shared" si="120"/>
        <v>0</v>
      </c>
      <c r="C164" s="120">
        <f t="shared" si="120"/>
        <v>0</v>
      </c>
      <c r="D164" s="120">
        <f t="shared" si="120"/>
        <v>0</v>
      </c>
      <c r="E164" s="120">
        <f t="shared" si="120"/>
        <v>1</v>
      </c>
      <c r="F164" s="120">
        <f t="shared" si="120"/>
        <v>0</v>
      </c>
      <c r="G164" s="120">
        <f t="shared" si="120"/>
        <v>0</v>
      </c>
      <c r="H164" s="120">
        <f t="shared" si="120"/>
        <v>0</v>
      </c>
      <c r="I164" s="120">
        <f t="shared" si="120"/>
        <v>0</v>
      </c>
      <c r="J164" s="120">
        <f t="shared" si="120"/>
        <v>0</v>
      </c>
      <c r="K164" s="120">
        <f t="shared" si="120"/>
        <v>0</v>
      </c>
      <c r="L164" s="120">
        <f t="shared" si="120"/>
        <v>0</v>
      </c>
      <c r="M164" s="120">
        <f t="shared" si="120"/>
        <v>1</v>
      </c>
      <c r="N164" s="120">
        <f t="shared" si="120"/>
        <v>0</v>
      </c>
      <c r="O164" s="120">
        <f t="shared" si="120"/>
        <v>0</v>
      </c>
      <c r="P164" s="120">
        <f t="shared" si="120"/>
        <v>0</v>
      </c>
      <c r="Q164" s="120">
        <f t="shared" si="120"/>
        <v>0</v>
      </c>
      <c r="R164" s="120">
        <f t="shared" si="120"/>
        <v>0</v>
      </c>
      <c r="S164" s="120">
        <f t="shared" si="120"/>
        <v>0</v>
      </c>
      <c r="T164" s="120">
        <f t="shared" si="120"/>
        <v>0</v>
      </c>
      <c r="U164" s="120">
        <f t="shared" si="120"/>
        <v>0</v>
      </c>
      <c r="V164" s="120">
        <f t="shared" si="120"/>
        <v>1</v>
      </c>
      <c r="W164" s="120">
        <f t="shared" si="120"/>
        <v>1</v>
      </c>
      <c r="X164" s="120">
        <f t="shared" si="120"/>
        <v>1</v>
      </c>
      <c r="Y164" s="120">
        <f t="shared" si="113"/>
        <v>1</v>
      </c>
      <c r="AA164" s="120">
        <f t="shared" ref="AA164:AP167" si="122">IF(B164=0,0,B164/AA32)</f>
        <v>0</v>
      </c>
      <c r="AB164" s="120">
        <f t="shared" si="122"/>
        <v>0</v>
      </c>
      <c r="AC164" s="120">
        <f t="shared" si="122"/>
        <v>0</v>
      </c>
      <c r="AD164" s="120">
        <f t="shared" si="122"/>
        <v>1</v>
      </c>
      <c r="AE164" s="120">
        <f t="shared" si="122"/>
        <v>0</v>
      </c>
      <c r="AF164" s="120">
        <f t="shared" si="122"/>
        <v>0</v>
      </c>
      <c r="AG164" s="120">
        <f t="shared" si="122"/>
        <v>0</v>
      </c>
      <c r="AH164" s="120">
        <f t="shared" si="122"/>
        <v>0</v>
      </c>
      <c r="AI164" s="120">
        <f t="shared" si="122"/>
        <v>0</v>
      </c>
      <c r="AJ164" s="120">
        <f t="shared" si="122"/>
        <v>0</v>
      </c>
      <c r="AK164" s="120">
        <f t="shared" si="122"/>
        <v>0</v>
      </c>
      <c r="AL164" s="120">
        <f t="shared" si="122"/>
        <v>0.5</v>
      </c>
      <c r="AM164" s="120">
        <f t="shared" si="122"/>
        <v>0</v>
      </c>
      <c r="AN164" s="120">
        <f t="shared" si="122"/>
        <v>0</v>
      </c>
      <c r="AO164" s="120">
        <f t="shared" si="122"/>
        <v>0</v>
      </c>
      <c r="AP164" s="120">
        <f t="shared" si="122"/>
        <v>0</v>
      </c>
      <c r="AQ164" s="120">
        <f t="shared" si="121"/>
        <v>0</v>
      </c>
      <c r="AR164" s="120">
        <f t="shared" si="121"/>
        <v>0</v>
      </c>
      <c r="AS164" s="120">
        <f t="shared" si="121"/>
        <v>0</v>
      </c>
      <c r="AT164" s="120">
        <f t="shared" si="121"/>
        <v>0</v>
      </c>
      <c r="AU164" s="120">
        <f t="shared" si="121"/>
        <v>1</v>
      </c>
      <c r="AV164" s="120">
        <f t="shared" si="121"/>
        <v>1</v>
      </c>
      <c r="AW164" s="120">
        <f t="shared" si="121"/>
        <v>1</v>
      </c>
      <c r="AX164" s="120">
        <f t="shared" si="121"/>
        <v>1</v>
      </c>
      <c r="AY164" s="120">
        <f t="shared" si="115"/>
        <v>5.5</v>
      </c>
      <c r="AZ164" s="20" t="s">
        <v>136</v>
      </c>
    </row>
    <row r="165" spans="1:52">
      <c r="A165" s="120" t="s">
        <v>173</v>
      </c>
      <c r="B165" s="120">
        <f t="shared" si="120"/>
        <v>1</v>
      </c>
      <c r="C165" s="120">
        <f t="shared" si="120"/>
        <v>1</v>
      </c>
      <c r="D165" s="120">
        <f t="shared" si="120"/>
        <v>0</v>
      </c>
      <c r="E165" s="120">
        <f t="shared" si="120"/>
        <v>1</v>
      </c>
      <c r="F165" s="120">
        <f t="shared" si="120"/>
        <v>0</v>
      </c>
      <c r="G165" s="120">
        <f t="shared" si="120"/>
        <v>1</v>
      </c>
      <c r="H165" s="120">
        <f t="shared" si="120"/>
        <v>0</v>
      </c>
      <c r="I165" s="120">
        <f t="shared" si="120"/>
        <v>1</v>
      </c>
      <c r="J165" s="120">
        <f t="shared" si="120"/>
        <v>1</v>
      </c>
      <c r="K165" s="120">
        <f t="shared" si="120"/>
        <v>1</v>
      </c>
      <c r="L165" s="120">
        <f t="shared" si="120"/>
        <v>0</v>
      </c>
      <c r="M165" s="120">
        <f t="shared" si="120"/>
        <v>0</v>
      </c>
      <c r="N165" s="120">
        <f t="shared" si="120"/>
        <v>0</v>
      </c>
      <c r="O165" s="120">
        <f t="shared" si="120"/>
        <v>0</v>
      </c>
      <c r="P165" s="120">
        <f t="shared" si="120"/>
        <v>0</v>
      </c>
      <c r="Q165" s="120">
        <f t="shared" si="120"/>
        <v>0</v>
      </c>
      <c r="R165" s="120">
        <f t="shared" si="120"/>
        <v>0</v>
      </c>
      <c r="S165" s="120">
        <f t="shared" si="120"/>
        <v>0</v>
      </c>
      <c r="T165" s="120">
        <f t="shared" si="120"/>
        <v>1</v>
      </c>
      <c r="U165" s="120">
        <f t="shared" si="120"/>
        <v>0</v>
      </c>
      <c r="V165" s="120">
        <f t="shared" si="120"/>
        <v>0</v>
      </c>
      <c r="W165" s="120">
        <f t="shared" si="120"/>
        <v>1</v>
      </c>
      <c r="X165" s="120">
        <f t="shared" si="120"/>
        <v>1</v>
      </c>
      <c r="Y165" s="120">
        <f t="shared" si="113"/>
        <v>1</v>
      </c>
      <c r="AA165" s="120">
        <f t="shared" si="122"/>
        <v>1</v>
      </c>
      <c r="AB165" s="120">
        <f t="shared" si="122"/>
        <v>1</v>
      </c>
      <c r="AC165" s="120">
        <f t="shared" si="122"/>
        <v>0</v>
      </c>
      <c r="AD165" s="120">
        <f t="shared" si="122"/>
        <v>1</v>
      </c>
      <c r="AE165" s="120">
        <f t="shared" si="122"/>
        <v>0</v>
      </c>
      <c r="AF165" s="120">
        <f t="shared" si="122"/>
        <v>1</v>
      </c>
      <c r="AG165" s="120">
        <f t="shared" si="122"/>
        <v>0</v>
      </c>
      <c r="AH165" s="120">
        <f t="shared" si="122"/>
        <v>1</v>
      </c>
      <c r="AI165" s="120">
        <f t="shared" si="122"/>
        <v>1</v>
      </c>
      <c r="AJ165" s="120">
        <f t="shared" si="122"/>
        <v>1</v>
      </c>
      <c r="AK165" s="120">
        <f t="shared" si="122"/>
        <v>0</v>
      </c>
      <c r="AL165" s="120">
        <f t="shared" si="122"/>
        <v>0</v>
      </c>
      <c r="AM165" s="120">
        <f t="shared" si="122"/>
        <v>0</v>
      </c>
      <c r="AN165" s="120">
        <f t="shared" si="122"/>
        <v>0</v>
      </c>
      <c r="AO165" s="120">
        <f t="shared" si="122"/>
        <v>0</v>
      </c>
      <c r="AP165" s="120">
        <f t="shared" si="122"/>
        <v>0</v>
      </c>
      <c r="AQ165" s="120">
        <f t="shared" si="121"/>
        <v>0</v>
      </c>
      <c r="AR165" s="120">
        <f t="shared" si="121"/>
        <v>0</v>
      </c>
      <c r="AS165" s="120">
        <f t="shared" si="121"/>
        <v>1</v>
      </c>
      <c r="AT165" s="120">
        <f t="shared" si="121"/>
        <v>0</v>
      </c>
      <c r="AU165" s="120">
        <f t="shared" si="121"/>
        <v>0</v>
      </c>
      <c r="AV165" s="120">
        <f t="shared" si="121"/>
        <v>1</v>
      </c>
      <c r="AW165" s="120">
        <f t="shared" si="121"/>
        <v>1</v>
      </c>
      <c r="AX165" s="120">
        <f t="shared" si="121"/>
        <v>1</v>
      </c>
      <c r="AY165" s="120">
        <f t="shared" si="115"/>
        <v>11</v>
      </c>
      <c r="AZ165" s="20" t="s">
        <v>136</v>
      </c>
    </row>
    <row r="166" spans="1:52">
      <c r="A166" s="120" t="s">
        <v>174</v>
      </c>
      <c r="B166" s="120">
        <f t="shared" si="120"/>
        <v>1</v>
      </c>
      <c r="C166" s="120">
        <f t="shared" si="120"/>
        <v>1</v>
      </c>
      <c r="D166" s="120">
        <f t="shared" si="120"/>
        <v>1</v>
      </c>
      <c r="E166" s="120">
        <f t="shared" si="120"/>
        <v>0</v>
      </c>
      <c r="F166" s="120">
        <f t="shared" si="120"/>
        <v>0</v>
      </c>
      <c r="G166" s="120">
        <f t="shared" si="120"/>
        <v>1</v>
      </c>
      <c r="H166" s="120">
        <f t="shared" si="120"/>
        <v>1</v>
      </c>
      <c r="I166" s="120">
        <f t="shared" si="120"/>
        <v>1</v>
      </c>
      <c r="J166" s="120">
        <f t="shared" si="120"/>
        <v>1</v>
      </c>
      <c r="K166" s="120">
        <f t="shared" si="120"/>
        <v>1</v>
      </c>
      <c r="L166" s="120">
        <f t="shared" si="120"/>
        <v>0</v>
      </c>
      <c r="M166" s="120">
        <f t="shared" si="120"/>
        <v>0</v>
      </c>
      <c r="N166" s="120">
        <f t="shared" si="120"/>
        <v>0</v>
      </c>
      <c r="O166" s="120">
        <f t="shared" si="120"/>
        <v>0</v>
      </c>
      <c r="P166" s="120">
        <f t="shared" si="120"/>
        <v>0</v>
      </c>
      <c r="Q166" s="120">
        <f t="shared" si="120"/>
        <v>0</v>
      </c>
      <c r="R166" s="120">
        <f t="shared" si="120"/>
        <v>0</v>
      </c>
      <c r="S166" s="120">
        <f t="shared" si="120"/>
        <v>1</v>
      </c>
      <c r="T166" s="120">
        <f t="shared" si="120"/>
        <v>0</v>
      </c>
      <c r="U166" s="120">
        <f t="shared" si="120"/>
        <v>0</v>
      </c>
      <c r="V166" s="120">
        <f t="shared" si="120"/>
        <v>0</v>
      </c>
      <c r="W166" s="120">
        <f t="shared" si="120"/>
        <v>1</v>
      </c>
      <c r="X166" s="120">
        <f t="shared" si="120"/>
        <v>0</v>
      </c>
      <c r="Y166" s="120">
        <f t="shared" si="113"/>
        <v>1</v>
      </c>
      <c r="AA166" s="120">
        <f t="shared" si="122"/>
        <v>1</v>
      </c>
      <c r="AB166" s="120">
        <f t="shared" si="122"/>
        <v>1</v>
      </c>
      <c r="AC166" s="120">
        <f t="shared" si="122"/>
        <v>1</v>
      </c>
      <c r="AD166" s="120">
        <f t="shared" si="122"/>
        <v>0</v>
      </c>
      <c r="AE166" s="120">
        <f t="shared" si="122"/>
        <v>0</v>
      </c>
      <c r="AF166" s="120">
        <f t="shared" si="122"/>
        <v>0.5</v>
      </c>
      <c r="AG166" s="120">
        <f t="shared" si="122"/>
        <v>1</v>
      </c>
      <c r="AH166" s="120">
        <f t="shared" si="122"/>
        <v>1</v>
      </c>
      <c r="AI166" s="120">
        <f t="shared" si="122"/>
        <v>1</v>
      </c>
      <c r="AJ166" s="120">
        <f t="shared" si="122"/>
        <v>1</v>
      </c>
      <c r="AK166" s="120">
        <f t="shared" si="122"/>
        <v>0</v>
      </c>
      <c r="AL166" s="120">
        <f t="shared" si="122"/>
        <v>0</v>
      </c>
      <c r="AM166" s="120">
        <f t="shared" si="122"/>
        <v>0</v>
      </c>
      <c r="AN166" s="120">
        <f t="shared" si="122"/>
        <v>0</v>
      </c>
      <c r="AO166" s="120">
        <f t="shared" si="122"/>
        <v>0</v>
      </c>
      <c r="AP166" s="120">
        <f t="shared" si="122"/>
        <v>0</v>
      </c>
      <c r="AQ166" s="120">
        <f t="shared" si="121"/>
        <v>0</v>
      </c>
      <c r="AR166" s="120">
        <f t="shared" si="121"/>
        <v>1</v>
      </c>
      <c r="AS166" s="120">
        <f t="shared" si="121"/>
        <v>0</v>
      </c>
      <c r="AT166" s="120">
        <f t="shared" si="121"/>
        <v>0</v>
      </c>
      <c r="AU166" s="120">
        <f t="shared" si="121"/>
        <v>0</v>
      </c>
      <c r="AV166" s="120">
        <f t="shared" si="121"/>
        <v>1</v>
      </c>
      <c r="AW166" s="120">
        <f t="shared" si="121"/>
        <v>0</v>
      </c>
      <c r="AX166" s="120">
        <f t="shared" si="121"/>
        <v>1</v>
      </c>
      <c r="AY166" s="120">
        <f t="shared" si="115"/>
        <v>10.5</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1</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0.33333333333333331</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0.33333333333333331</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1</v>
      </c>
      <c r="J185" s="120">
        <f t="shared" si="131"/>
        <v>1</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0.33333333333333331</v>
      </c>
      <c r="AI185" s="120">
        <f t="shared" si="130"/>
        <v>0.33333333333333331</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0.66666666666666663</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1</v>
      </c>
      <c r="G194" s="120">
        <f t="shared" si="133"/>
        <v>1</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1</v>
      </c>
      <c r="AF194" s="120">
        <f t="shared" si="130"/>
        <v>1</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2</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1</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1</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1</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0</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0</v>
      </c>
      <c r="U269" s="120">
        <f t="shared" si="163"/>
        <v>1</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1</v>
      </c>
      <c r="AL269" s="120">
        <f t="shared" si="164"/>
        <v>1</v>
      </c>
      <c r="AM269" s="120">
        <f t="shared" si="164"/>
        <v>1</v>
      </c>
      <c r="AN269" s="120">
        <f t="shared" si="164"/>
        <v>1</v>
      </c>
      <c r="AO269" s="120">
        <f t="shared" si="164"/>
        <v>1</v>
      </c>
      <c r="AP269" s="120">
        <f t="shared" si="164"/>
        <v>1</v>
      </c>
      <c r="AQ269" s="120">
        <f t="shared" si="164"/>
        <v>1</v>
      </c>
      <c r="AR269" s="120">
        <f t="shared" si="164"/>
        <v>1</v>
      </c>
      <c r="AS269" s="120">
        <f t="shared" si="164"/>
        <v>0</v>
      </c>
      <c r="AT269" s="120">
        <f t="shared" si="164"/>
        <v>1</v>
      </c>
      <c r="AU269" s="120">
        <f t="shared" si="164"/>
        <v>0</v>
      </c>
      <c r="AV269" s="120">
        <f t="shared" si="164"/>
        <v>0</v>
      </c>
      <c r="AW269" s="120">
        <f t="shared" si="164"/>
        <v>0</v>
      </c>
      <c r="AX269" s="120">
        <f t="shared" si="164"/>
        <v>0</v>
      </c>
      <c r="AY269" s="120">
        <f t="shared" ref="AY269:AY299" si="165">SUM(AA269:AX269)</f>
        <v>9</v>
      </c>
      <c r="AZ269" s="20" t="s">
        <v>140</v>
      </c>
    </row>
    <row r="270" spans="1:52">
      <c r="A270" s="120" t="s">
        <v>146</v>
      </c>
      <c r="B270" s="120">
        <f t="shared" ref="B270:Y280" si="166">IF(IFERROR(FIND($A$268,B6,1),0)=0,0,1)</f>
        <v>0</v>
      </c>
      <c r="C270" s="120">
        <f t="shared" si="166"/>
        <v>0</v>
      </c>
      <c r="D270" s="120">
        <f t="shared" si="166"/>
        <v>0</v>
      </c>
      <c r="E270" s="120">
        <f t="shared" si="166"/>
        <v>1</v>
      </c>
      <c r="F270" s="120">
        <f t="shared" si="166"/>
        <v>0</v>
      </c>
      <c r="G270" s="120">
        <f t="shared" si="166"/>
        <v>0</v>
      </c>
      <c r="H270" s="120">
        <f t="shared" si="166"/>
        <v>0</v>
      </c>
      <c r="I270" s="120">
        <f t="shared" si="166"/>
        <v>0</v>
      </c>
      <c r="J270" s="120">
        <f t="shared" si="166"/>
        <v>0</v>
      </c>
      <c r="K270" s="120">
        <f t="shared" si="166"/>
        <v>0</v>
      </c>
      <c r="L270" s="120">
        <f t="shared" si="166"/>
        <v>0</v>
      </c>
      <c r="M270" s="120">
        <f t="shared" si="166"/>
        <v>0</v>
      </c>
      <c r="N270" s="120">
        <f t="shared" si="166"/>
        <v>1</v>
      </c>
      <c r="O270" s="120">
        <f t="shared" si="166"/>
        <v>1</v>
      </c>
      <c r="P270" s="120">
        <f t="shared" si="166"/>
        <v>1</v>
      </c>
      <c r="Q270" s="120">
        <f t="shared" si="166"/>
        <v>1</v>
      </c>
      <c r="R270" s="120">
        <f t="shared" si="166"/>
        <v>1</v>
      </c>
      <c r="S270" s="120">
        <f t="shared" si="166"/>
        <v>0</v>
      </c>
      <c r="T270" s="120">
        <f t="shared" si="166"/>
        <v>0</v>
      </c>
      <c r="U270" s="120">
        <f t="shared" si="166"/>
        <v>1</v>
      </c>
      <c r="V270" s="120">
        <f t="shared" si="166"/>
        <v>0</v>
      </c>
      <c r="W270" s="120">
        <f t="shared" si="166"/>
        <v>0</v>
      </c>
      <c r="X270" s="120">
        <f t="shared" si="166"/>
        <v>0</v>
      </c>
      <c r="Y270" s="120">
        <f t="shared" si="166"/>
        <v>0</v>
      </c>
      <c r="AA270" s="120">
        <f t="shared" si="164"/>
        <v>0</v>
      </c>
      <c r="AB270" s="120">
        <f t="shared" si="164"/>
        <v>0</v>
      </c>
      <c r="AC270" s="120">
        <f t="shared" si="164"/>
        <v>0</v>
      </c>
      <c r="AD270" s="120">
        <f t="shared" si="164"/>
        <v>0.5</v>
      </c>
      <c r="AE270" s="120">
        <f t="shared" si="164"/>
        <v>0</v>
      </c>
      <c r="AF270" s="120">
        <f t="shared" si="164"/>
        <v>0</v>
      </c>
      <c r="AG270" s="120">
        <f t="shared" si="164"/>
        <v>0</v>
      </c>
      <c r="AH270" s="120">
        <f t="shared" si="164"/>
        <v>0</v>
      </c>
      <c r="AI270" s="120">
        <f t="shared" si="164"/>
        <v>0</v>
      </c>
      <c r="AJ270" s="120">
        <f t="shared" si="164"/>
        <v>0</v>
      </c>
      <c r="AK270" s="120">
        <f t="shared" si="164"/>
        <v>0</v>
      </c>
      <c r="AL270" s="120">
        <f t="shared" si="164"/>
        <v>0</v>
      </c>
      <c r="AM270" s="120">
        <f t="shared" si="164"/>
        <v>1</v>
      </c>
      <c r="AN270" s="120">
        <f t="shared" si="164"/>
        <v>1</v>
      </c>
      <c r="AO270" s="120">
        <f t="shared" si="164"/>
        <v>1</v>
      </c>
      <c r="AP270" s="120">
        <f t="shared" si="164"/>
        <v>1</v>
      </c>
      <c r="AQ270" s="120">
        <f t="shared" si="164"/>
        <v>1</v>
      </c>
      <c r="AR270" s="120">
        <f t="shared" si="164"/>
        <v>0</v>
      </c>
      <c r="AS270" s="120">
        <f t="shared" si="164"/>
        <v>0</v>
      </c>
      <c r="AT270" s="120">
        <f t="shared" si="164"/>
        <v>0.33333333333333331</v>
      </c>
      <c r="AU270" s="120">
        <f t="shared" si="164"/>
        <v>0</v>
      </c>
      <c r="AV270" s="120">
        <f t="shared" si="164"/>
        <v>0</v>
      </c>
      <c r="AW270" s="120">
        <f t="shared" si="164"/>
        <v>0</v>
      </c>
      <c r="AX270" s="120">
        <f t="shared" si="164"/>
        <v>0</v>
      </c>
      <c r="AY270" s="120">
        <f t="shared" si="165"/>
        <v>5.833333333333333</v>
      </c>
      <c r="AZ270" s="20" t="s">
        <v>140</v>
      </c>
    </row>
    <row r="271" spans="1:52">
      <c r="A271" s="120" t="s">
        <v>147</v>
      </c>
      <c r="B271" s="120">
        <f t="shared" si="166"/>
        <v>0</v>
      </c>
      <c r="C271" s="120">
        <f t="shared" si="166"/>
        <v>0</v>
      </c>
      <c r="D271" s="120">
        <f t="shared" si="166"/>
        <v>0</v>
      </c>
      <c r="E271" s="120">
        <f t="shared" si="166"/>
        <v>0</v>
      </c>
      <c r="F271" s="120">
        <f t="shared" si="166"/>
        <v>1</v>
      </c>
      <c r="G271" s="120">
        <f t="shared" si="166"/>
        <v>0</v>
      </c>
      <c r="H271" s="120">
        <f t="shared" si="166"/>
        <v>0</v>
      </c>
      <c r="I271" s="120">
        <f t="shared" si="166"/>
        <v>0</v>
      </c>
      <c r="J271" s="120">
        <f t="shared" si="166"/>
        <v>0</v>
      </c>
      <c r="K271" s="120">
        <f t="shared" si="166"/>
        <v>0</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0</v>
      </c>
      <c r="U271" s="120">
        <f t="shared" si="166"/>
        <v>0</v>
      </c>
      <c r="V271" s="120">
        <f t="shared" si="166"/>
        <v>0</v>
      </c>
      <c r="W271" s="120">
        <f t="shared" si="166"/>
        <v>0</v>
      </c>
      <c r="X271" s="120">
        <f t="shared" si="166"/>
        <v>0</v>
      </c>
      <c r="Y271" s="120">
        <f t="shared" si="166"/>
        <v>0</v>
      </c>
      <c r="AA271" s="120">
        <f t="shared" si="164"/>
        <v>0</v>
      </c>
      <c r="AB271" s="120">
        <f t="shared" si="164"/>
        <v>0</v>
      </c>
      <c r="AC271" s="120">
        <f t="shared" si="164"/>
        <v>0</v>
      </c>
      <c r="AD271" s="120">
        <f t="shared" si="164"/>
        <v>0</v>
      </c>
      <c r="AE271" s="120">
        <f t="shared" si="164"/>
        <v>0.5</v>
      </c>
      <c r="AF271" s="120">
        <f t="shared" si="164"/>
        <v>0</v>
      </c>
      <c r="AG271" s="120">
        <f t="shared" si="164"/>
        <v>0</v>
      </c>
      <c r="AH271" s="120">
        <f t="shared" si="164"/>
        <v>0</v>
      </c>
      <c r="AI271" s="120">
        <f t="shared" si="164"/>
        <v>0</v>
      </c>
      <c r="AJ271" s="120">
        <f t="shared" si="164"/>
        <v>0</v>
      </c>
      <c r="AK271" s="120">
        <f t="shared" si="164"/>
        <v>1</v>
      </c>
      <c r="AL271" s="120">
        <f t="shared" si="164"/>
        <v>1</v>
      </c>
      <c r="AM271" s="120">
        <f t="shared" si="164"/>
        <v>1</v>
      </c>
      <c r="AN271" s="120">
        <f t="shared" si="164"/>
        <v>1</v>
      </c>
      <c r="AO271" s="120">
        <f t="shared" si="164"/>
        <v>1</v>
      </c>
      <c r="AP271" s="120">
        <f t="shared" si="164"/>
        <v>1</v>
      </c>
      <c r="AQ271" s="120">
        <f t="shared" si="164"/>
        <v>1</v>
      </c>
      <c r="AR271" s="120">
        <f t="shared" si="164"/>
        <v>1</v>
      </c>
      <c r="AS271" s="120">
        <f t="shared" si="164"/>
        <v>0</v>
      </c>
      <c r="AT271" s="120">
        <f t="shared" si="164"/>
        <v>0</v>
      </c>
      <c r="AU271" s="120">
        <f t="shared" si="164"/>
        <v>0</v>
      </c>
      <c r="AV271" s="120">
        <f t="shared" si="164"/>
        <v>0</v>
      </c>
      <c r="AW271" s="120">
        <f t="shared" si="164"/>
        <v>0</v>
      </c>
      <c r="AX271" s="120">
        <f t="shared" si="164"/>
        <v>0</v>
      </c>
      <c r="AY271" s="120">
        <f t="shared" si="165"/>
        <v>8.5</v>
      </c>
      <c r="AZ271" s="20" t="s">
        <v>140</v>
      </c>
    </row>
    <row r="272" spans="1:52">
      <c r="A272" s="120" t="s">
        <v>148</v>
      </c>
      <c r="B272" s="120">
        <f t="shared" si="166"/>
        <v>0</v>
      </c>
      <c r="C272" s="120">
        <f t="shared" si="166"/>
        <v>0</v>
      </c>
      <c r="D272" s="120">
        <f t="shared" si="166"/>
        <v>0</v>
      </c>
      <c r="E272" s="120">
        <f t="shared" si="166"/>
        <v>1</v>
      </c>
      <c r="F272" s="120">
        <f t="shared" si="166"/>
        <v>1</v>
      </c>
      <c r="G272" s="120">
        <f t="shared" si="166"/>
        <v>1</v>
      </c>
      <c r="H272" s="120">
        <f t="shared" si="166"/>
        <v>0</v>
      </c>
      <c r="I272" s="120">
        <f t="shared" si="166"/>
        <v>0</v>
      </c>
      <c r="J272" s="120">
        <f t="shared" si="166"/>
        <v>0</v>
      </c>
      <c r="K272" s="120">
        <f t="shared" si="166"/>
        <v>0</v>
      </c>
      <c r="L272" s="120">
        <f t="shared" si="166"/>
        <v>0</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1</v>
      </c>
      <c r="V272" s="120">
        <f t="shared" si="166"/>
        <v>0</v>
      </c>
      <c r="W272" s="120">
        <f t="shared" si="166"/>
        <v>0</v>
      </c>
      <c r="X272" s="120">
        <f t="shared" si="166"/>
        <v>0</v>
      </c>
      <c r="Y272" s="120">
        <f t="shared" si="166"/>
        <v>0</v>
      </c>
      <c r="AA272" s="120">
        <f t="shared" si="164"/>
        <v>0</v>
      </c>
      <c r="AB272" s="120">
        <f t="shared" si="164"/>
        <v>0</v>
      </c>
      <c r="AC272" s="120">
        <f t="shared" si="164"/>
        <v>0</v>
      </c>
      <c r="AD272" s="120">
        <f t="shared" si="164"/>
        <v>1</v>
      </c>
      <c r="AE272" s="120">
        <f t="shared" si="164"/>
        <v>1</v>
      </c>
      <c r="AF272" s="120">
        <f t="shared" si="164"/>
        <v>1</v>
      </c>
      <c r="AG272" s="120">
        <f t="shared" si="164"/>
        <v>0</v>
      </c>
      <c r="AH272" s="120">
        <f t="shared" si="164"/>
        <v>0</v>
      </c>
      <c r="AI272" s="120">
        <f t="shared" si="164"/>
        <v>0</v>
      </c>
      <c r="AJ272" s="120">
        <f t="shared" si="164"/>
        <v>0</v>
      </c>
      <c r="AK272" s="120">
        <f t="shared" si="164"/>
        <v>0</v>
      </c>
      <c r="AL272" s="120">
        <f t="shared" si="164"/>
        <v>1</v>
      </c>
      <c r="AM272" s="120">
        <f t="shared" si="164"/>
        <v>1</v>
      </c>
      <c r="AN272" s="120">
        <f t="shared" si="164"/>
        <v>1</v>
      </c>
      <c r="AO272" s="120">
        <f t="shared" si="164"/>
        <v>1</v>
      </c>
      <c r="AP272" s="120">
        <f t="shared" si="164"/>
        <v>1</v>
      </c>
      <c r="AQ272" s="120">
        <f t="shared" si="164"/>
        <v>1</v>
      </c>
      <c r="AR272" s="120">
        <f t="shared" si="164"/>
        <v>1</v>
      </c>
      <c r="AS272" s="120">
        <f t="shared" si="164"/>
        <v>1</v>
      </c>
      <c r="AT272" s="120">
        <f t="shared" si="164"/>
        <v>0.5</v>
      </c>
      <c r="AU272" s="120">
        <f t="shared" si="164"/>
        <v>0</v>
      </c>
      <c r="AV272" s="120">
        <f t="shared" si="164"/>
        <v>0</v>
      </c>
      <c r="AW272" s="120">
        <f t="shared" si="164"/>
        <v>0</v>
      </c>
      <c r="AX272" s="120">
        <f t="shared" si="164"/>
        <v>0</v>
      </c>
      <c r="AY272" s="120">
        <f t="shared" si="165"/>
        <v>11.5</v>
      </c>
      <c r="AZ272" s="20" t="s">
        <v>140</v>
      </c>
    </row>
    <row r="273" spans="1:52">
      <c r="A273" s="120" t="s">
        <v>149</v>
      </c>
      <c r="B273" s="120">
        <f t="shared" si="166"/>
        <v>1</v>
      </c>
      <c r="C273" s="120">
        <f t="shared" si="166"/>
        <v>0</v>
      </c>
      <c r="D273" s="120">
        <f t="shared" si="166"/>
        <v>0</v>
      </c>
      <c r="E273" s="120">
        <f t="shared" si="166"/>
        <v>0</v>
      </c>
      <c r="F273" s="120">
        <f t="shared" si="166"/>
        <v>1</v>
      </c>
      <c r="G273" s="120">
        <f t="shared" si="166"/>
        <v>1</v>
      </c>
      <c r="H273" s="120">
        <f t="shared" si="166"/>
        <v>0</v>
      </c>
      <c r="I273" s="120">
        <f t="shared" si="166"/>
        <v>0</v>
      </c>
      <c r="J273" s="120">
        <f t="shared" si="166"/>
        <v>0</v>
      </c>
      <c r="K273" s="120">
        <f t="shared" si="166"/>
        <v>0</v>
      </c>
      <c r="L273" s="120">
        <f t="shared" si="166"/>
        <v>1</v>
      </c>
      <c r="M273" s="120">
        <f t="shared" si="166"/>
        <v>1</v>
      </c>
      <c r="N273" s="120">
        <f t="shared" si="166"/>
        <v>1</v>
      </c>
      <c r="O273" s="120">
        <f t="shared" si="166"/>
        <v>1</v>
      </c>
      <c r="P273" s="120">
        <f t="shared" si="166"/>
        <v>1</v>
      </c>
      <c r="Q273" s="120">
        <f t="shared" si="166"/>
        <v>0</v>
      </c>
      <c r="R273" s="120">
        <f t="shared" si="166"/>
        <v>1</v>
      </c>
      <c r="S273" s="120">
        <f t="shared" si="166"/>
        <v>0</v>
      </c>
      <c r="T273" s="120">
        <f t="shared" si="166"/>
        <v>0</v>
      </c>
      <c r="U273" s="120">
        <f t="shared" si="166"/>
        <v>0</v>
      </c>
      <c r="V273" s="120">
        <f t="shared" si="166"/>
        <v>0</v>
      </c>
      <c r="W273" s="120">
        <f t="shared" si="166"/>
        <v>1</v>
      </c>
      <c r="X273" s="120">
        <f t="shared" si="166"/>
        <v>0</v>
      </c>
      <c r="Y273" s="120">
        <f t="shared" si="166"/>
        <v>0</v>
      </c>
      <c r="AA273" s="120">
        <f t="shared" si="164"/>
        <v>1</v>
      </c>
      <c r="AB273" s="120">
        <f t="shared" si="164"/>
        <v>0</v>
      </c>
      <c r="AC273" s="120">
        <f t="shared" si="164"/>
        <v>0</v>
      </c>
      <c r="AD273" s="120">
        <f t="shared" si="164"/>
        <v>0</v>
      </c>
      <c r="AE273" s="120">
        <f t="shared" si="164"/>
        <v>0.5</v>
      </c>
      <c r="AF273" s="120">
        <f t="shared" si="164"/>
        <v>0.5</v>
      </c>
      <c r="AG273" s="120">
        <f t="shared" si="164"/>
        <v>0</v>
      </c>
      <c r="AH273" s="120">
        <f t="shared" si="164"/>
        <v>0</v>
      </c>
      <c r="AI273" s="120">
        <f t="shared" si="164"/>
        <v>0</v>
      </c>
      <c r="AJ273" s="120">
        <f t="shared" si="164"/>
        <v>0</v>
      </c>
      <c r="AK273" s="120">
        <f t="shared" si="164"/>
        <v>1</v>
      </c>
      <c r="AL273" s="120">
        <f t="shared" si="164"/>
        <v>1</v>
      </c>
      <c r="AM273" s="120">
        <f t="shared" si="164"/>
        <v>1</v>
      </c>
      <c r="AN273" s="120">
        <f t="shared" si="164"/>
        <v>1</v>
      </c>
      <c r="AO273" s="120">
        <f t="shared" si="164"/>
        <v>1</v>
      </c>
      <c r="AP273" s="120">
        <f t="shared" si="164"/>
        <v>0</v>
      </c>
      <c r="AQ273" s="120">
        <f t="shared" si="164"/>
        <v>1</v>
      </c>
      <c r="AR273" s="120">
        <f t="shared" si="164"/>
        <v>0</v>
      </c>
      <c r="AS273" s="120">
        <f t="shared" si="164"/>
        <v>0</v>
      </c>
      <c r="AT273" s="120">
        <f t="shared" si="164"/>
        <v>0</v>
      </c>
      <c r="AU273" s="120">
        <f t="shared" si="164"/>
        <v>0</v>
      </c>
      <c r="AV273" s="120">
        <f t="shared" si="164"/>
        <v>1</v>
      </c>
      <c r="AW273" s="120">
        <f t="shared" si="164"/>
        <v>0</v>
      </c>
      <c r="AX273" s="120">
        <f t="shared" si="164"/>
        <v>0</v>
      </c>
      <c r="AY273" s="120">
        <f t="shared" si="165"/>
        <v>9</v>
      </c>
      <c r="AZ273" s="20" t="s">
        <v>140</v>
      </c>
    </row>
    <row r="274" spans="1:52">
      <c r="A274" s="120" t="s">
        <v>150</v>
      </c>
      <c r="B274" s="120">
        <f t="shared" si="166"/>
        <v>0</v>
      </c>
      <c r="C274" s="120">
        <f t="shared" si="166"/>
        <v>0</v>
      </c>
      <c r="D274" s="120">
        <f t="shared" si="166"/>
        <v>0</v>
      </c>
      <c r="E274" s="120">
        <f t="shared" si="166"/>
        <v>1</v>
      </c>
      <c r="F274" s="120">
        <f t="shared" si="166"/>
        <v>0</v>
      </c>
      <c r="G274" s="120">
        <f t="shared" si="166"/>
        <v>1</v>
      </c>
      <c r="H274" s="120">
        <f t="shared" si="166"/>
        <v>1</v>
      </c>
      <c r="I274" s="120">
        <f t="shared" si="166"/>
        <v>0</v>
      </c>
      <c r="J274" s="120">
        <f t="shared" si="166"/>
        <v>0</v>
      </c>
      <c r="K274" s="120">
        <f t="shared" si="166"/>
        <v>0</v>
      </c>
      <c r="L274" s="120">
        <f t="shared" si="166"/>
        <v>1</v>
      </c>
      <c r="M274" s="120">
        <f t="shared" si="166"/>
        <v>1</v>
      </c>
      <c r="N274" s="120">
        <f t="shared" si="166"/>
        <v>1</v>
      </c>
      <c r="O274" s="120">
        <f t="shared" si="166"/>
        <v>1</v>
      </c>
      <c r="P274" s="120">
        <f t="shared" si="166"/>
        <v>1</v>
      </c>
      <c r="Q274" s="120">
        <f t="shared" si="166"/>
        <v>1</v>
      </c>
      <c r="R274" s="120">
        <f t="shared" si="166"/>
        <v>0</v>
      </c>
      <c r="S274" s="120">
        <f t="shared" si="166"/>
        <v>1</v>
      </c>
      <c r="T274" s="120">
        <f t="shared" si="166"/>
        <v>1</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0</v>
      </c>
      <c r="AD274" s="120">
        <f t="shared" si="164"/>
        <v>1</v>
      </c>
      <c r="AE274" s="120">
        <f t="shared" si="164"/>
        <v>0</v>
      </c>
      <c r="AF274" s="120">
        <f t="shared" si="164"/>
        <v>1</v>
      </c>
      <c r="AG274" s="120">
        <f t="shared" si="164"/>
        <v>0.5</v>
      </c>
      <c r="AH274" s="120">
        <f t="shared" si="164"/>
        <v>0</v>
      </c>
      <c r="AI274" s="120">
        <f t="shared" si="164"/>
        <v>0</v>
      </c>
      <c r="AJ274" s="120">
        <f t="shared" si="164"/>
        <v>0</v>
      </c>
      <c r="AK274" s="120">
        <f t="shared" si="164"/>
        <v>1</v>
      </c>
      <c r="AL274" s="120">
        <f t="shared" si="164"/>
        <v>1</v>
      </c>
      <c r="AM274" s="120">
        <f t="shared" si="164"/>
        <v>1</v>
      </c>
      <c r="AN274" s="120">
        <f t="shared" si="164"/>
        <v>1</v>
      </c>
      <c r="AO274" s="120">
        <f t="shared" si="164"/>
        <v>1</v>
      </c>
      <c r="AP274" s="120">
        <f t="shared" si="164"/>
        <v>1</v>
      </c>
      <c r="AQ274" s="120">
        <f t="shared" si="164"/>
        <v>0</v>
      </c>
      <c r="AR274" s="120">
        <f t="shared" si="164"/>
        <v>1</v>
      </c>
      <c r="AS274" s="120">
        <f t="shared" si="164"/>
        <v>1</v>
      </c>
      <c r="AT274" s="120">
        <f t="shared" si="164"/>
        <v>0</v>
      </c>
      <c r="AU274" s="120">
        <f t="shared" si="164"/>
        <v>0</v>
      </c>
      <c r="AV274" s="120">
        <f t="shared" si="164"/>
        <v>0</v>
      </c>
      <c r="AW274" s="120">
        <f t="shared" si="164"/>
        <v>0</v>
      </c>
      <c r="AX274" s="120">
        <f t="shared" si="164"/>
        <v>0</v>
      </c>
      <c r="AY274" s="120">
        <f t="shared" si="165"/>
        <v>10.5</v>
      </c>
      <c r="AZ274" s="20" t="s">
        <v>140</v>
      </c>
    </row>
    <row r="275" spans="1:52">
      <c r="A275" s="120" t="s">
        <v>151</v>
      </c>
      <c r="B275" s="120">
        <f t="shared" si="166"/>
        <v>0</v>
      </c>
      <c r="C275" s="120">
        <f t="shared" si="166"/>
        <v>0</v>
      </c>
      <c r="D275" s="120">
        <f t="shared" si="166"/>
        <v>0</v>
      </c>
      <c r="E275" s="120">
        <f t="shared" si="166"/>
        <v>0</v>
      </c>
      <c r="F275" s="120">
        <f t="shared" si="166"/>
        <v>0</v>
      </c>
      <c r="G275" s="120">
        <f t="shared" si="166"/>
        <v>0</v>
      </c>
      <c r="H275" s="120">
        <f t="shared" si="166"/>
        <v>1</v>
      </c>
      <c r="I275" s="120">
        <f t="shared" si="166"/>
        <v>1</v>
      </c>
      <c r="J275" s="120">
        <f t="shared" si="166"/>
        <v>0</v>
      </c>
      <c r="K275" s="120">
        <f t="shared" si="166"/>
        <v>1</v>
      </c>
      <c r="L275" s="120">
        <f t="shared" si="166"/>
        <v>1</v>
      </c>
      <c r="M275" s="120">
        <f t="shared" si="166"/>
        <v>1</v>
      </c>
      <c r="N275" s="120">
        <f t="shared" si="166"/>
        <v>1</v>
      </c>
      <c r="O275" s="120">
        <f t="shared" si="166"/>
        <v>1</v>
      </c>
      <c r="P275" s="120">
        <f t="shared" si="166"/>
        <v>1</v>
      </c>
      <c r="Q275" s="120">
        <f t="shared" si="166"/>
        <v>1</v>
      </c>
      <c r="R275" s="120">
        <f t="shared" si="166"/>
        <v>1</v>
      </c>
      <c r="S275" s="120">
        <f t="shared" si="166"/>
        <v>1</v>
      </c>
      <c r="T275" s="120">
        <f t="shared" si="166"/>
        <v>1</v>
      </c>
      <c r="U275" s="120">
        <f t="shared" si="166"/>
        <v>0</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0</v>
      </c>
      <c r="AE275" s="120">
        <f t="shared" si="164"/>
        <v>0</v>
      </c>
      <c r="AF275" s="120">
        <f t="shared" si="164"/>
        <v>0</v>
      </c>
      <c r="AG275" s="120">
        <f t="shared" si="164"/>
        <v>1</v>
      </c>
      <c r="AH275" s="120">
        <f t="shared" si="164"/>
        <v>1</v>
      </c>
      <c r="AI275" s="120">
        <f t="shared" si="164"/>
        <v>0</v>
      </c>
      <c r="AJ275" s="120">
        <f t="shared" si="164"/>
        <v>1</v>
      </c>
      <c r="AK275" s="120">
        <f t="shared" si="164"/>
        <v>1</v>
      </c>
      <c r="AL275" s="120">
        <f t="shared" si="164"/>
        <v>1</v>
      </c>
      <c r="AM275" s="120">
        <f t="shared" si="164"/>
        <v>1</v>
      </c>
      <c r="AN275" s="120">
        <f t="shared" si="164"/>
        <v>1</v>
      </c>
      <c r="AO275" s="120">
        <f t="shared" si="164"/>
        <v>1</v>
      </c>
      <c r="AP275" s="120">
        <f t="shared" si="164"/>
        <v>1</v>
      </c>
      <c r="AQ275" s="120">
        <f t="shared" si="164"/>
        <v>1</v>
      </c>
      <c r="AR275" s="120">
        <f t="shared" si="164"/>
        <v>1</v>
      </c>
      <c r="AS275" s="120">
        <f t="shared" si="164"/>
        <v>1</v>
      </c>
      <c r="AT275" s="120">
        <f t="shared" si="164"/>
        <v>0</v>
      </c>
      <c r="AU275" s="120">
        <f t="shared" si="164"/>
        <v>0</v>
      </c>
      <c r="AV275" s="120">
        <f t="shared" si="164"/>
        <v>0</v>
      </c>
      <c r="AW275" s="120">
        <f t="shared" si="164"/>
        <v>0</v>
      </c>
      <c r="AX275" s="120">
        <f t="shared" si="164"/>
        <v>0</v>
      </c>
      <c r="AY275" s="120">
        <f t="shared" si="165"/>
        <v>12</v>
      </c>
      <c r="AZ275" s="20" t="s">
        <v>140</v>
      </c>
    </row>
    <row r="276" spans="1:52">
      <c r="A276" s="120" t="s">
        <v>152</v>
      </c>
      <c r="B276" s="120">
        <f t="shared" si="166"/>
        <v>0</v>
      </c>
      <c r="C276" s="120">
        <f t="shared" si="166"/>
        <v>0</v>
      </c>
      <c r="D276" s="120">
        <f t="shared" si="166"/>
        <v>0</v>
      </c>
      <c r="E276" s="120">
        <f t="shared" si="166"/>
        <v>0</v>
      </c>
      <c r="F276" s="120">
        <f t="shared" si="166"/>
        <v>0</v>
      </c>
      <c r="G276" s="120">
        <f t="shared" si="166"/>
        <v>0</v>
      </c>
      <c r="H276" s="120">
        <f t="shared" si="166"/>
        <v>0</v>
      </c>
      <c r="I276" s="120">
        <f t="shared" si="166"/>
        <v>0</v>
      </c>
      <c r="J276" s="120">
        <f t="shared" si="166"/>
        <v>0</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1</v>
      </c>
      <c r="U276" s="120">
        <f t="shared" si="166"/>
        <v>1</v>
      </c>
      <c r="V276" s="120">
        <f t="shared" si="166"/>
        <v>0</v>
      </c>
      <c r="W276" s="120">
        <f t="shared" si="166"/>
        <v>0</v>
      </c>
      <c r="X276" s="120">
        <f t="shared" si="166"/>
        <v>0</v>
      </c>
      <c r="Y276" s="120">
        <f t="shared" si="166"/>
        <v>0</v>
      </c>
      <c r="AA276" s="120">
        <f t="shared" si="164"/>
        <v>0</v>
      </c>
      <c r="AB276" s="120">
        <f t="shared" si="164"/>
        <v>0</v>
      </c>
      <c r="AC276" s="120">
        <f t="shared" si="164"/>
        <v>0</v>
      </c>
      <c r="AD276" s="120">
        <f t="shared" si="164"/>
        <v>0</v>
      </c>
      <c r="AE276" s="120">
        <f t="shared" si="164"/>
        <v>0</v>
      </c>
      <c r="AF276" s="120">
        <f t="shared" si="164"/>
        <v>0</v>
      </c>
      <c r="AG276" s="120">
        <f t="shared" si="164"/>
        <v>0</v>
      </c>
      <c r="AH276" s="120">
        <f t="shared" si="164"/>
        <v>0</v>
      </c>
      <c r="AI276" s="120">
        <f t="shared" si="164"/>
        <v>0</v>
      </c>
      <c r="AJ276" s="120">
        <f t="shared" si="164"/>
        <v>1</v>
      </c>
      <c r="AK276" s="120">
        <f t="shared" si="164"/>
        <v>1</v>
      </c>
      <c r="AL276" s="120">
        <f t="shared" si="164"/>
        <v>1</v>
      </c>
      <c r="AM276" s="120">
        <f t="shared" si="164"/>
        <v>0.5</v>
      </c>
      <c r="AN276" s="120">
        <f t="shared" si="164"/>
        <v>1</v>
      </c>
      <c r="AO276" s="120">
        <f t="shared" si="164"/>
        <v>1</v>
      </c>
      <c r="AP276" s="120">
        <f t="shared" si="164"/>
        <v>1</v>
      </c>
      <c r="AQ276" s="120">
        <f t="shared" si="164"/>
        <v>1</v>
      </c>
      <c r="AR276" s="120">
        <f t="shared" si="164"/>
        <v>1</v>
      </c>
      <c r="AS276" s="120">
        <f t="shared" si="164"/>
        <v>1</v>
      </c>
      <c r="AT276" s="120">
        <f t="shared" si="164"/>
        <v>1</v>
      </c>
      <c r="AU276" s="120">
        <f t="shared" si="164"/>
        <v>0</v>
      </c>
      <c r="AV276" s="120">
        <f t="shared" si="164"/>
        <v>0</v>
      </c>
      <c r="AW276" s="120">
        <f t="shared" si="164"/>
        <v>0</v>
      </c>
      <c r="AX276" s="120">
        <f t="shared" si="164"/>
        <v>0</v>
      </c>
      <c r="AY276" s="120">
        <f t="shared" si="165"/>
        <v>10.5</v>
      </c>
      <c r="AZ276" s="20" t="s">
        <v>140</v>
      </c>
    </row>
    <row r="277" spans="1:52">
      <c r="A277" s="120" t="s">
        <v>153</v>
      </c>
      <c r="B277" s="120">
        <f t="shared" si="166"/>
        <v>0</v>
      </c>
      <c r="C277" s="120">
        <f t="shared" si="166"/>
        <v>0</v>
      </c>
      <c r="D277" s="120">
        <f t="shared" si="166"/>
        <v>0</v>
      </c>
      <c r="E277" s="120">
        <f t="shared" si="166"/>
        <v>0</v>
      </c>
      <c r="F277" s="120">
        <f t="shared" si="166"/>
        <v>0</v>
      </c>
      <c r="G277" s="120">
        <f t="shared" si="166"/>
        <v>0</v>
      </c>
      <c r="H277" s="120">
        <f t="shared" si="166"/>
        <v>0</v>
      </c>
      <c r="I277" s="120">
        <f t="shared" si="166"/>
        <v>1</v>
      </c>
      <c r="J277" s="120">
        <f t="shared" si="166"/>
        <v>1</v>
      </c>
      <c r="K277" s="120">
        <f t="shared" si="166"/>
        <v>0</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1</v>
      </c>
      <c r="U277" s="120">
        <f t="shared" si="166"/>
        <v>0</v>
      </c>
      <c r="V277" s="120">
        <f t="shared" si="166"/>
        <v>0</v>
      </c>
      <c r="W277" s="120">
        <f t="shared" si="166"/>
        <v>1</v>
      </c>
      <c r="X277" s="120">
        <f t="shared" si="166"/>
        <v>0</v>
      </c>
      <c r="Y277" s="120">
        <f t="shared" si="166"/>
        <v>0</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0.5</v>
      </c>
      <c r="AI277" s="120">
        <f t="shared" si="164"/>
        <v>0.5</v>
      </c>
      <c r="AJ277" s="120">
        <f t="shared" si="164"/>
        <v>0</v>
      </c>
      <c r="AK277" s="120">
        <f t="shared" si="164"/>
        <v>1</v>
      </c>
      <c r="AL277" s="120">
        <f t="shared" si="164"/>
        <v>1</v>
      </c>
      <c r="AM277" s="120">
        <f t="shared" si="164"/>
        <v>1</v>
      </c>
      <c r="AN277" s="120">
        <f t="shared" si="164"/>
        <v>1</v>
      </c>
      <c r="AO277" s="120">
        <f t="shared" si="164"/>
        <v>1</v>
      </c>
      <c r="AP277" s="120">
        <f t="shared" si="164"/>
        <v>1</v>
      </c>
      <c r="AQ277" s="120">
        <f t="shared" si="164"/>
        <v>1</v>
      </c>
      <c r="AR277" s="120">
        <f t="shared" si="164"/>
        <v>1</v>
      </c>
      <c r="AS277" s="120">
        <f t="shared" si="164"/>
        <v>1</v>
      </c>
      <c r="AT277" s="120">
        <f t="shared" si="164"/>
        <v>0</v>
      </c>
      <c r="AU277" s="120">
        <f t="shared" si="164"/>
        <v>0</v>
      </c>
      <c r="AV277" s="120">
        <f t="shared" si="164"/>
        <v>1</v>
      </c>
      <c r="AW277" s="120">
        <f t="shared" si="164"/>
        <v>0</v>
      </c>
      <c r="AX277" s="120">
        <f t="shared" si="164"/>
        <v>0</v>
      </c>
      <c r="AY277" s="120">
        <f t="shared" si="165"/>
        <v>11</v>
      </c>
      <c r="AZ277" s="20" t="s">
        <v>140</v>
      </c>
    </row>
    <row r="278" spans="1:52">
      <c r="A278" s="120" t="s">
        <v>154</v>
      </c>
      <c r="B278" s="120">
        <f t="shared" si="166"/>
        <v>0</v>
      </c>
      <c r="C278" s="120">
        <f t="shared" si="166"/>
        <v>0</v>
      </c>
      <c r="D278" s="120">
        <f t="shared" si="166"/>
        <v>1</v>
      </c>
      <c r="E278" s="120">
        <f t="shared" si="166"/>
        <v>0</v>
      </c>
      <c r="F278" s="120">
        <f t="shared" si="166"/>
        <v>0</v>
      </c>
      <c r="G278" s="120">
        <f t="shared" si="166"/>
        <v>1</v>
      </c>
      <c r="H278" s="120">
        <f t="shared" si="166"/>
        <v>0</v>
      </c>
      <c r="I278" s="120">
        <f t="shared" si="166"/>
        <v>0</v>
      </c>
      <c r="J278" s="120">
        <f t="shared" si="166"/>
        <v>0</v>
      </c>
      <c r="K278" s="120">
        <f t="shared" si="166"/>
        <v>1</v>
      </c>
      <c r="L278" s="120">
        <f t="shared" si="166"/>
        <v>1</v>
      </c>
      <c r="M278" s="120">
        <f t="shared" si="166"/>
        <v>1</v>
      </c>
      <c r="N278" s="120">
        <f t="shared" si="166"/>
        <v>1</v>
      </c>
      <c r="O278" s="120">
        <f t="shared" si="166"/>
        <v>0</v>
      </c>
      <c r="P278" s="120">
        <f t="shared" si="166"/>
        <v>1</v>
      </c>
      <c r="Q278" s="120">
        <f t="shared" si="166"/>
        <v>1</v>
      </c>
      <c r="R278" s="120">
        <f t="shared" si="166"/>
        <v>1</v>
      </c>
      <c r="S278" s="120">
        <f t="shared" si="166"/>
        <v>1</v>
      </c>
      <c r="T278" s="120">
        <f t="shared" si="166"/>
        <v>1</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0.5</v>
      </c>
      <c r="AD278" s="120">
        <f t="shared" si="164"/>
        <v>0</v>
      </c>
      <c r="AE278" s="120">
        <f t="shared" si="164"/>
        <v>0</v>
      </c>
      <c r="AF278" s="120">
        <f t="shared" si="164"/>
        <v>0.5</v>
      </c>
      <c r="AG278" s="120">
        <f t="shared" si="164"/>
        <v>0</v>
      </c>
      <c r="AH278" s="120">
        <f t="shared" si="164"/>
        <v>0</v>
      </c>
      <c r="AI278" s="120">
        <f t="shared" si="164"/>
        <v>0</v>
      </c>
      <c r="AJ278" s="120">
        <f t="shared" si="164"/>
        <v>0.33333333333333331</v>
      </c>
      <c r="AK278" s="120">
        <f t="shared" si="164"/>
        <v>1</v>
      </c>
      <c r="AL278" s="120">
        <f t="shared" si="164"/>
        <v>1</v>
      </c>
      <c r="AM278" s="120">
        <f t="shared" si="164"/>
        <v>1</v>
      </c>
      <c r="AN278" s="120">
        <f t="shared" si="164"/>
        <v>0</v>
      </c>
      <c r="AO278" s="120">
        <f t="shared" si="164"/>
        <v>1</v>
      </c>
      <c r="AP278" s="120">
        <f t="shared" si="164"/>
        <v>1</v>
      </c>
      <c r="AQ278" s="120">
        <f t="shared" si="164"/>
        <v>1</v>
      </c>
      <c r="AR278" s="120">
        <f t="shared" si="164"/>
        <v>1</v>
      </c>
      <c r="AS278" s="120">
        <f t="shared" si="164"/>
        <v>1</v>
      </c>
      <c r="AT278" s="120">
        <f t="shared" si="164"/>
        <v>0</v>
      </c>
      <c r="AU278" s="120">
        <f t="shared" si="164"/>
        <v>0</v>
      </c>
      <c r="AV278" s="120">
        <f t="shared" si="164"/>
        <v>0</v>
      </c>
      <c r="AW278" s="120">
        <f t="shared" si="164"/>
        <v>0</v>
      </c>
      <c r="AX278" s="120">
        <f t="shared" si="164"/>
        <v>0</v>
      </c>
      <c r="AY278" s="120">
        <f t="shared" si="165"/>
        <v>9.3333333333333321</v>
      </c>
      <c r="AZ278" s="20" t="s">
        <v>140</v>
      </c>
    </row>
    <row r="279" spans="1:52">
      <c r="A279" s="120" t="s">
        <v>155</v>
      </c>
      <c r="B279" s="120">
        <f t="shared" si="166"/>
        <v>0</v>
      </c>
      <c r="C279" s="120">
        <f t="shared" si="166"/>
        <v>1</v>
      </c>
      <c r="D279" s="120">
        <f t="shared" si="166"/>
        <v>1</v>
      </c>
      <c r="E279" s="120">
        <f t="shared" si="166"/>
        <v>0</v>
      </c>
      <c r="F279" s="120">
        <f t="shared" si="166"/>
        <v>1</v>
      </c>
      <c r="G279" s="120">
        <f t="shared" si="166"/>
        <v>1</v>
      </c>
      <c r="H279" s="120">
        <f t="shared" si="166"/>
        <v>1</v>
      </c>
      <c r="I279" s="120">
        <f t="shared" si="166"/>
        <v>0</v>
      </c>
      <c r="J279" s="120">
        <f t="shared" si="166"/>
        <v>0</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1</v>
      </c>
      <c r="U279" s="120">
        <f t="shared" si="166"/>
        <v>1</v>
      </c>
      <c r="V279" s="120">
        <f t="shared" si="166"/>
        <v>1</v>
      </c>
      <c r="W279" s="120">
        <f t="shared" si="166"/>
        <v>0</v>
      </c>
      <c r="X279" s="120">
        <f t="shared" si="166"/>
        <v>0</v>
      </c>
      <c r="Y279" s="120">
        <f t="shared" si="166"/>
        <v>0</v>
      </c>
      <c r="AA279" s="120">
        <f t="shared" si="164"/>
        <v>0</v>
      </c>
      <c r="AB279" s="120">
        <f t="shared" si="164"/>
        <v>1</v>
      </c>
      <c r="AC279" s="120">
        <f t="shared" si="164"/>
        <v>0.33333333333333331</v>
      </c>
      <c r="AD279" s="120">
        <f t="shared" si="164"/>
        <v>0</v>
      </c>
      <c r="AE279" s="120">
        <f t="shared" si="164"/>
        <v>1</v>
      </c>
      <c r="AF279" s="120">
        <f t="shared" si="164"/>
        <v>1</v>
      </c>
      <c r="AG279" s="120">
        <f t="shared" si="164"/>
        <v>1</v>
      </c>
      <c r="AH279" s="120">
        <f t="shared" si="164"/>
        <v>0</v>
      </c>
      <c r="AI279" s="120">
        <f t="shared" si="164"/>
        <v>0</v>
      </c>
      <c r="AJ279" s="120">
        <f t="shared" si="164"/>
        <v>1</v>
      </c>
      <c r="AK279" s="120">
        <f t="shared" si="164"/>
        <v>1</v>
      </c>
      <c r="AL279" s="120">
        <f t="shared" si="164"/>
        <v>1</v>
      </c>
      <c r="AM279" s="120">
        <f t="shared" si="164"/>
        <v>1</v>
      </c>
      <c r="AN279" s="120">
        <f t="shared" si="164"/>
        <v>1</v>
      </c>
      <c r="AO279" s="120">
        <f t="shared" si="164"/>
        <v>1</v>
      </c>
      <c r="AP279" s="120">
        <f t="shared" ref="AP279:AX294" si="167">IF(Q279=0,0,Q279/AP15)</f>
        <v>1</v>
      </c>
      <c r="AQ279" s="120">
        <f t="shared" si="167"/>
        <v>1</v>
      </c>
      <c r="AR279" s="120">
        <f t="shared" si="167"/>
        <v>1</v>
      </c>
      <c r="AS279" s="120">
        <f t="shared" si="167"/>
        <v>1</v>
      </c>
      <c r="AT279" s="120">
        <f t="shared" si="167"/>
        <v>0.5</v>
      </c>
      <c r="AU279" s="120">
        <f t="shared" si="167"/>
        <v>1</v>
      </c>
      <c r="AV279" s="120">
        <f t="shared" si="167"/>
        <v>0</v>
      </c>
      <c r="AW279" s="120">
        <f t="shared" si="167"/>
        <v>0</v>
      </c>
      <c r="AX279" s="120">
        <f t="shared" si="167"/>
        <v>0</v>
      </c>
      <c r="AY279" s="120">
        <f t="shared" si="165"/>
        <v>15.833333333333332</v>
      </c>
      <c r="AZ279" s="20" t="s">
        <v>140</v>
      </c>
    </row>
    <row r="280" spans="1:52">
      <c r="A280" s="120" t="s">
        <v>156</v>
      </c>
      <c r="B280" s="120">
        <f t="shared" si="166"/>
        <v>0</v>
      </c>
      <c r="C280" s="120">
        <f t="shared" si="166"/>
        <v>0</v>
      </c>
      <c r="D280" s="120">
        <f t="shared" si="166"/>
        <v>1</v>
      </c>
      <c r="E280" s="120">
        <f t="shared" si="166"/>
        <v>1</v>
      </c>
      <c r="F280" s="120">
        <f t="shared" si="166"/>
        <v>0</v>
      </c>
      <c r="G280" s="120">
        <f t="shared" si="166"/>
        <v>0</v>
      </c>
      <c r="H280" s="120">
        <f t="shared" si="166"/>
        <v>0</v>
      </c>
      <c r="I280" s="120">
        <f t="shared" si="166"/>
        <v>0</v>
      </c>
      <c r="J280" s="120">
        <f t="shared" si="166"/>
        <v>0</v>
      </c>
      <c r="K280" s="120">
        <f t="shared" si="166"/>
        <v>0</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1</v>
      </c>
      <c r="U280" s="120">
        <f t="shared" si="168"/>
        <v>1</v>
      </c>
      <c r="V280" s="120">
        <f t="shared" si="168"/>
        <v>0</v>
      </c>
      <c r="W280" s="120">
        <f t="shared" si="168"/>
        <v>0</v>
      </c>
      <c r="X280" s="120">
        <f t="shared" si="168"/>
        <v>1</v>
      </c>
      <c r="Y280" s="120">
        <f t="shared" si="168"/>
        <v>0</v>
      </c>
      <c r="AA280" s="120">
        <f t="shared" ref="AA280:AP295" si="169">IF(B280=0,0,B280/AA16)</f>
        <v>0</v>
      </c>
      <c r="AB280" s="120">
        <f t="shared" si="169"/>
        <v>0</v>
      </c>
      <c r="AC280" s="120">
        <f t="shared" si="169"/>
        <v>0.5</v>
      </c>
      <c r="AD280" s="120">
        <f t="shared" si="169"/>
        <v>0.5</v>
      </c>
      <c r="AE280" s="120">
        <f t="shared" si="169"/>
        <v>0</v>
      </c>
      <c r="AF280" s="120">
        <f t="shared" si="169"/>
        <v>0</v>
      </c>
      <c r="AG280" s="120">
        <f t="shared" si="169"/>
        <v>0</v>
      </c>
      <c r="AH280" s="120">
        <f t="shared" si="169"/>
        <v>0</v>
      </c>
      <c r="AI280" s="120">
        <f t="shared" si="169"/>
        <v>0</v>
      </c>
      <c r="AJ280" s="120">
        <f t="shared" si="169"/>
        <v>0</v>
      </c>
      <c r="AK280" s="120">
        <f t="shared" si="169"/>
        <v>1</v>
      </c>
      <c r="AL280" s="120">
        <f t="shared" si="169"/>
        <v>1</v>
      </c>
      <c r="AM280" s="120">
        <f t="shared" si="169"/>
        <v>1</v>
      </c>
      <c r="AN280" s="120">
        <f t="shared" si="169"/>
        <v>1</v>
      </c>
      <c r="AO280" s="120">
        <f t="shared" si="169"/>
        <v>1</v>
      </c>
      <c r="AP280" s="120">
        <f t="shared" si="167"/>
        <v>1</v>
      </c>
      <c r="AQ280" s="120">
        <f t="shared" si="167"/>
        <v>1</v>
      </c>
      <c r="AR280" s="120">
        <f t="shared" si="167"/>
        <v>1</v>
      </c>
      <c r="AS280" s="120">
        <f t="shared" si="167"/>
        <v>1</v>
      </c>
      <c r="AT280" s="120">
        <f t="shared" si="167"/>
        <v>0.5</v>
      </c>
      <c r="AU280" s="120">
        <f t="shared" si="167"/>
        <v>0</v>
      </c>
      <c r="AV280" s="120">
        <f t="shared" si="167"/>
        <v>0</v>
      </c>
      <c r="AW280" s="120">
        <f t="shared" si="167"/>
        <v>1</v>
      </c>
      <c r="AX280" s="120">
        <f t="shared" si="167"/>
        <v>0</v>
      </c>
      <c r="AY280" s="120">
        <f t="shared" si="165"/>
        <v>11.5</v>
      </c>
      <c r="AZ280" s="20" t="s">
        <v>140</v>
      </c>
    </row>
    <row r="281" spans="1:52">
      <c r="A281" s="120" t="s">
        <v>157</v>
      </c>
      <c r="B281" s="120">
        <f t="shared" ref="B281:Y291" si="170">IF(IFERROR(FIND($A$268,B17,1),0)=0,0,1)</f>
        <v>0</v>
      </c>
      <c r="C281" s="120">
        <f t="shared" si="170"/>
        <v>0</v>
      </c>
      <c r="D281" s="120">
        <f t="shared" si="170"/>
        <v>0</v>
      </c>
      <c r="E281" s="120">
        <f t="shared" si="170"/>
        <v>0</v>
      </c>
      <c r="F281" s="120">
        <f t="shared" si="170"/>
        <v>0</v>
      </c>
      <c r="G281" s="120">
        <f t="shared" si="170"/>
        <v>1</v>
      </c>
      <c r="H281" s="120">
        <f t="shared" si="170"/>
        <v>0</v>
      </c>
      <c r="I281" s="120">
        <f t="shared" si="170"/>
        <v>0</v>
      </c>
      <c r="J281" s="120">
        <f t="shared" si="170"/>
        <v>0</v>
      </c>
      <c r="K281" s="120">
        <f t="shared" si="170"/>
        <v>1</v>
      </c>
      <c r="L281" s="120">
        <f t="shared" si="170"/>
        <v>1</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1</v>
      </c>
      <c r="V281" s="120">
        <f t="shared" si="170"/>
        <v>0</v>
      </c>
      <c r="W281" s="120">
        <f t="shared" si="170"/>
        <v>0</v>
      </c>
      <c r="X281" s="120">
        <f t="shared" si="170"/>
        <v>0</v>
      </c>
      <c r="Y281" s="120">
        <f t="shared" si="170"/>
        <v>1</v>
      </c>
      <c r="AA281" s="120">
        <f t="shared" si="169"/>
        <v>0</v>
      </c>
      <c r="AB281" s="120">
        <f t="shared" si="169"/>
        <v>0</v>
      </c>
      <c r="AC281" s="120">
        <f t="shared" si="169"/>
        <v>0</v>
      </c>
      <c r="AD281" s="120">
        <f t="shared" si="169"/>
        <v>0</v>
      </c>
      <c r="AE281" s="120">
        <f t="shared" si="169"/>
        <v>0</v>
      </c>
      <c r="AF281" s="120">
        <f t="shared" si="169"/>
        <v>1</v>
      </c>
      <c r="AG281" s="120">
        <f t="shared" si="169"/>
        <v>0</v>
      </c>
      <c r="AH281" s="120">
        <f t="shared" si="169"/>
        <v>0</v>
      </c>
      <c r="AI281" s="120">
        <f t="shared" si="169"/>
        <v>0</v>
      </c>
      <c r="AJ281" s="120">
        <f t="shared" si="169"/>
        <v>1</v>
      </c>
      <c r="AK281" s="120">
        <f t="shared" si="169"/>
        <v>1</v>
      </c>
      <c r="AL281" s="120">
        <f t="shared" si="169"/>
        <v>1</v>
      </c>
      <c r="AM281" s="120">
        <f t="shared" si="169"/>
        <v>1</v>
      </c>
      <c r="AN281" s="120">
        <f t="shared" si="169"/>
        <v>1</v>
      </c>
      <c r="AO281" s="120">
        <f t="shared" si="169"/>
        <v>1</v>
      </c>
      <c r="AP281" s="120">
        <f t="shared" si="167"/>
        <v>1</v>
      </c>
      <c r="AQ281" s="120">
        <f t="shared" si="167"/>
        <v>1</v>
      </c>
      <c r="AR281" s="120">
        <f t="shared" si="167"/>
        <v>1</v>
      </c>
      <c r="AS281" s="120">
        <f t="shared" si="167"/>
        <v>1</v>
      </c>
      <c r="AT281" s="120">
        <f t="shared" si="167"/>
        <v>1</v>
      </c>
      <c r="AU281" s="120">
        <f t="shared" si="167"/>
        <v>0</v>
      </c>
      <c r="AV281" s="120">
        <f t="shared" si="167"/>
        <v>0</v>
      </c>
      <c r="AW281" s="120">
        <f t="shared" si="167"/>
        <v>0</v>
      </c>
      <c r="AX281" s="120">
        <f t="shared" si="167"/>
        <v>1</v>
      </c>
      <c r="AY281" s="120">
        <f t="shared" si="165"/>
        <v>13</v>
      </c>
      <c r="AZ281" s="20" t="s">
        <v>140</v>
      </c>
    </row>
    <row r="282" spans="1:52">
      <c r="A282" s="120" t="s">
        <v>158</v>
      </c>
      <c r="B282" s="120">
        <f t="shared" si="170"/>
        <v>1</v>
      </c>
      <c r="C282" s="120">
        <f t="shared" si="170"/>
        <v>0</v>
      </c>
      <c r="D282" s="120">
        <f t="shared" si="170"/>
        <v>1</v>
      </c>
      <c r="E282" s="120">
        <f t="shared" si="170"/>
        <v>0</v>
      </c>
      <c r="F282" s="120">
        <f t="shared" si="170"/>
        <v>1</v>
      </c>
      <c r="G282" s="120">
        <f t="shared" si="170"/>
        <v>1</v>
      </c>
      <c r="H282" s="120">
        <f t="shared" si="170"/>
        <v>0</v>
      </c>
      <c r="I282" s="120">
        <f t="shared" si="170"/>
        <v>0</v>
      </c>
      <c r="J282" s="120">
        <f t="shared" si="170"/>
        <v>1</v>
      </c>
      <c r="K282" s="120">
        <f t="shared" si="170"/>
        <v>0</v>
      </c>
      <c r="L282" s="120">
        <f t="shared" si="170"/>
        <v>1</v>
      </c>
      <c r="M282" s="120">
        <f t="shared" si="170"/>
        <v>1</v>
      </c>
      <c r="N282" s="120">
        <f t="shared" si="170"/>
        <v>1</v>
      </c>
      <c r="O282" s="120">
        <f t="shared" si="170"/>
        <v>1</v>
      </c>
      <c r="P282" s="120">
        <f t="shared" si="170"/>
        <v>1</v>
      </c>
      <c r="Q282" s="120">
        <f t="shared" si="170"/>
        <v>1</v>
      </c>
      <c r="R282" s="120">
        <f t="shared" si="170"/>
        <v>1</v>
      </c>
      <c r="S282" s="120">
        <f t="shared" si="170"/>
        <v>1</v>
      </c>
      <c r="T282" s="120">
        <f t="shared" si="170"/>
        <v>0</v>
      </c>
      <c r="U282" s="120">
        <f t="shared" si="170"/>
        <v>0</v>
      </c>
      <c r="V282" s="120">
        <f t="shared" si="170"/>
        <v>1</v>
      </c>
      <c r="W282" s="120">
        <f t="shared" si="170"/>
        <v>1</v>
      </c>
      <c r="X282" s="120">
        <f t="shared" si="170"/>
        <v>0</v>
      </c>
      <c r="Y282" s="120">
        <f t="shared" si="170"/>
        <v>0</v>
      </c>
      <c r="AA282" s="120">
        <f t="shared" si="169"/>
        <v>1</v>
      </c>
      <c r="AB282" s="120">
        <f t="shared" si="169"/>
        <v>0</v>
      </c>
      <c r="AC282" s="120">
        <f t="shared" si="169"/>
        <v>1</v>
      </c>
      <c r="AD282" s="120">
        <f t="shared" si="169"/>
        <v>0</v>
      </c>
      <c r="AE282" s="120">
        <f t="shared" si="169"/>
        <v>1</v>
      </c>
      <c r="AF282" s="120">
        <f t="shared" si="169"/>
        <v>1</v>
      </c>
      <c r="AG282" s="120">
        <f t="shared" si="169"/>
        <v>0</v>
      </c>
      <c r="AH282" s="120">
        <f t="shared" si="169"/>
        <v>0</v>
      </c>
      <c r="AI282" s="120">
        <f t="shared" si="169"/>
        <v>1</v>
      </c>
      <c r="AJ282" s="120">
        <f t="shared" si="169"/>
        <v>0</v>
      </c>
      <c r="AK282" s="120">
        <f t="shared" si="169"/>
        <v>1</v>
      </c>
      <c r="AL282" s="120">
        <f t="shared" si="169"/>
        <v>1</v>
      </c>
      <c r="AM282" s="120">
        <f t="shared" si="169"/>
        <v>1</v>
      </c>
      <c r="AN282" s="120">
        <f t="shared" si="169"/>
        <v>1</v>
      </c>
      <c r="AO282" s="120">
        <f t="shared" si="169"/>
        <v>1</v>
      </c>
      <c r="AP282" s="120">
        <f t="shared" si="167"/>
        <v>1</v>
      </c>
      <c r="AQ282" s="120">
        <f t="shared" si="167"/>
        <v>1</v>
      </c>
      <c r="AR282" s="120">
        <f t="shared" si="167"/>
        <v>1</v>
      </c>
      <c r="AS282" s="120">
        <f t="shared" si="167"/>
        <v>0</v>
      </c>
      <c r="AT282" s="120">
        <f t="shared" si="167"/>
        <v>0</v>
      </c>
      <c r="AU282" s="120">
        <f t="shared" si="167"/>
        <v>1</v>
      </c>
      <c r="AV282" s="120">
        <f t="shared" si="167"/>
        <v>1</v>
      </c>
      <c r="AW282" s="120">
        <f t="shared" si="167"/>
        <v>0</v>
      </c>
      <c r="AX282" s="120">
        <f t="shared" si="167"/>
        <v>0</v>
      </c>
      <c r="AY282" s="120">
        <f t="shared" si="165"/>
        <v>15</v>
      </c>
      <c r="AZ282" s="20" t="s">
        <v>140</v>
      </c>
    </row>
    <row r="283" spans="1:52">
      <c r="A283" s="120" t="s">
        <v>159</v>
      </c>
      <c r="B283" s="120">
        <f t="shared" si="170"/>
        <v>0</v>
      </c>
      <c r="C283" s="120">
        <f t="shared" si="170"/>
        <v>0</v>
      </c>
      <c r="D283" s="120">
        <f t="shared" si="170"/>
        <v>1</v>
      </c>
      <c r="E283" s="120">
        <f t="shared" si="170"/>
        <v>0</v>
      </c>
      <c r="F283" s="120">
        <f t="shared" si="170"/>
        <v>0</v>
      </c>
      <c r="G283" s="120">
        <f t="shared" si="170"/>
        <v>0</v>
      </c>
      <c r="H283" s="120">
        <f t="shared" si="170"/>
        <v>0</v>
      </c>
      <c r="I283" s="120">
        <f t="shared" si="170"/>
        <v>0</v>
      </c>
      <c r="J283" s="120">
        <f t="shared" si="170"/>
        <v>1</v>
      </c>
      <c r="K283" s="120">
        <f t="shared" si="170"/>
        <v>1</v>
      </c>
      <c r="L283" s="120">
        <f t="shared" si="170"/>
        <v>1</v>
      </c>
      <c r="M283" s="120">
        <f t="shared" si="170"/>
        <v>1</v>
      </c>
      <c r="N283" s="120">
        <f t="shared" si="170"/>
        <v>1</v>
      </c>
      <c r="O283" s="120">
        <f t="shared" si="170"/>
        <v>1</v>
      </c>
      <c r="P283" s="120">
        <f t="shared" si="170"/>
        <v>1</v>
      </c>
      <c r="Q283" s="120">
        <f t="shared" si="170"/>
        <v>1</v>
      </c>
      <c r="R283" s="120">
        <f t="shared" si="170"/>
        <v>1</v>
      </c>
      <c r="S283" s="120">
        <f t="shared" si="170"/>
        <v>1</v>
      </c>
      <c r="T283" s="120">
        <f t="shared" si="170"/>
        <v>1</v>
      </c>
      <c r="U283" s="120">
        <f t="shared" si="170"/>
        <v>0</v>
      </c>
      <c r="V283" s="120">
        <f t="shared" si="170"/>
        <v>1</v>
      </c>
      <c r="W283" s="120">
        <f t="shared" si="170"/>
        <v>0</v>
      </c>
      <c r="X283" s="120">
        <f t="shared" si="170"/>
        <v>0</v>
      </c>
      <c r="Y283" s="120">
        <f t="shared" si="170"/>
        <v>0</v>
      </c>
      <c r="AA283" s="120">
        <f t="shared" si="169"/>
        <v>0</v>
      </c>
      <c r="AB283" s="120">
        <f t="shared" si="169"/>
        <v>0</v>
      </c>
      <c r="AC283" s="120">
        <f t="shared" si="169"/>
        <v>1</v>
      </c>
      <c r="AD283" s="120">
        <f t="shared" si="169"/>
        <v>0</v>
      </c>
      <c r="AE283" s="120">
        <f t="shared" si="169"/>
        <v>0</v>
      </c>
      <c r="AF283" s="120">
        <f t="shared" si="169"/>
        <v>0</v>
      </c>
      <c r="AG283" s="120">
        <f t="shared" si="169"/>
        <v>0</v>
      </c>
      <c r="AH283" s="120">
        <f t="shared" si="169"/>
        <v>0</v>
      </c>
      <c r="AI283" s="120">
        <f t="shared" si="169"/>
        <v>1</v>
      </c>
      <c r="AJ283" s="120">
        <f t="shared" si="169"/>
        <v>1</v>
      </c>
      <c r="AK283" s="120">
        <f t="shared" si="169"/>
        <v>1</v>
      </c>
      <c r="AL283" s="120">
        <f t="shared" si="169"/>
        <v>1</v>
      </c>
      <c r="AM283" s="120">
        <f t="shared" si="169"/>
        <v>1</v>
      </c>
      <c r="AN283" s="120">
        <f t="shared" si="169"/>
        <v>1</v>
      </c>
      <c r="AO283" s="120">
        <f t="shared" si="169"/>
        <v>1</v>
      </c>
      <c r="AP283" s="120">
        <f t="shared" si="167"/>
        <v>1</v>
      </c>
      <c r="AQ283" s="120">
        <f t="shared" si="167"/>
        <v>1</v>
      </c>
      <c r="AR283" s="120">
        <f t="shared" si="167"/>
        <v>1</v>
      </c>
      <c r="AS283" s="120">
        <f t="shared" si="167"/>
        <v>1</v>
      </c>
      <c r="AT283" s="120">
        <f t="shared" si="167"/>
        <v>0</v>
      </c>
      <c r="AU283" s="120">
        <f t="shared" si="167"/>
        <v>1</v>
      </c>
      <c r="AV283" s="120">
        <f t="shared" si="167"/>
        <v>0</v>
      </c>
      <c r="AW283" s="120">
        <f t="shared" si="167"/>
        <v>0</v>
      </c>
      <c r="AX283" s="120">
        <f t="shared" si="167"/>
        <v>0</v>
      </c>
      <c r="AY283" s="120">
        <f t="shared" si="165"/>
        <v>13</v>
      </c>
      <c r="AZ283" s="20" t="s">
        <v>140</v>
      </c>
    </row>
    <row r="284" spans="1:52">
      <c r="A284" s="120" t="s">
        <v>160</v>
      </c>
      <c r="B284" s="120">
        <f t="shared" si="170"/>
        <v>0</v>
      </c>
      <c r="C284" s="120">
        <f t="shared" si="170"/>
        <v>1</v>
      </c>
      <c r="D284" s="120">
        <f t="shared" si="170"/>
        <v>1</v>
      </c>
      <c r="E284" s="120">
        <f t="shared" si="170"/>
        <v>1</v>
      </c>
      <c r="F284" s="120">
        <f t="shared" si="170"/>
        <v>1</v>
      </c>
      <c r="G284" s="120">
        <f t="shared" si="170"/>
        <v>1</v>
      </c>
      <c r="H284" s="120">
        <f t="shared" si="170"/>
        <v>1</v>
      </c>
      <c r="I284" s="120">
        <f t="shared" si="170"/>
        <v>0</v>
      </c>
      <c r="J284" s="120">
        <f t="shared" si="170"/>
        <v>0</v>
      </c>
      <c r="K284" s="120">
        <f t="shared" si="170"/>
        <v>0</v>
      </c>
      <c r="L284" s="120">
        <f t="shared" si="170"/>
        <v>1</v>
      </c>
      <c r="M284" s="120">
        <f t="shared" si="170"/>
        <v>1</v>
      </c>
      <c r="N284" s="120">
        <f t="shared" si="170"/>
        <v>1</v>
      </c>
      <c r="O284" s="120">
        <f t="shared" si="170"/>
        <v>1</v>
      </c>
      <c r="P284" s="120">
        <f t="shared" si="170"/>
        <v>1</v>
      </c>
      <c r="Q284" s="120">
        <f t="shared" si="170"/>
        <v>1</v>
      </c>
      <c r="R284" s="120">
        <f t="shared" si="170"/>
        <v>1</v>
      </c>
      <c r="S284" s="120">
        <f t="shared" si="170"/>
        <v>1</v>
      </c>
      <c r="T284" s="120">
        <f t="shared" si="170"/>
        <v>1</v>
      </c>
      <c r="U284" s="120">
        <f t="shared" si="170"/>
        <v>0</v>
      </c>
      <c r="V284" s="120">
        <f t="shared" si="170"/>
        <v>0</v>
      </c>
      <c r="W284" s="120">
        <f t="shared" si="170"/>
        <v>0</v>
      </c>
      <c r="X284" s="120">
        <f t="shared" si="170"/>
        <v>0</v>
      </c>
      <c r="Y284" s="120">
        <f t="shared" si="170"/>
        <v>0</v>
      </c>
      <c r="AA284" s="120">
        <f t="shared" si="169"/>
        <v>0</v>
      </c>
      <c r="AB284" s="120">
        <f t="shared" si="169"/>
        <v>1</v>
      </c>
      <c r="AC284" s="120">
        <f t="shared" si="169"/>
        <v>1</v>
      </c>
      <c r="AD284" s="120">
        <f t="shared" si="169"/>
        <v>1</v>
      </c>
      <c r="AE284" s="120">
        <f t="shared" si="169"/>
        <v>1</v>
      </c>
      <c r="AF284" s="120">
        <f t="shared" si="169"/>
        <v>1</v>
      </c>
      <c r="AG284" s="120">
        <f t="shared" si="169"/>
        <v>1</v>
      </c>
      <c r="AH284" s="120">
        <f t="shared" si="169"/>
        <v>0</v>
      </c>
      <c r="AI284" s="120">
        <f t="shared" si="169"/>
        <v>0</v>
      </c>
      <c r="AJ284" s="120">
        <f t="shared" si="169"/>
        <v>0</v>
      </c>
      <c r="AK284" s="120">
        <f t="shared" si="169"/>
        <v>1</v>
      </c>
      <c r="AL284" s="120">
        <f t="shared" si="169"/>
        <v>0.5</v>
      </c>
      <c r="AM284" s="120">
        <f t="shared" si="169"/>
        <v>1</v>
      </c>
      <c r="AN284" s="120">
        <f t="shared" si="169"/>
        <v>1</v>
      </c>
      <c r="AO284" s="120">
        <f t="shared" si="169"/>
        <v>1</v>
      </c>
      <c r="AP284" s="120">
        <f t="shared" si="167"/>
        <v>1</v>
      </c>
      <c r="AQ284" s="120">
        <f t="shared" si="167"/>
        <v>1</v>
      </c>
      <c r="AR284" s="120">
        <f t="shared" si="167"/>
        <v>0.5</v>
      </c>
      <c r="AS284" s="120">
        <f t="shared" si="167"/>
        <v>1</v>
      </c>
      <c r="AT284" s="120">
        <f t="shared" si="167"/>
        <v>0</v>
      </c>
      <c r="AU284" s="120">
        <f t="shared" si="167"/>
        <v>0</v>
      </c>
      <c r="AV284" s="120">
        <f t="shared" si="167"/>
        <v>0</v>
      </c>
      <c r="AW284" s="120">
        <f t="shared" si="167"/>
        <v>0</v>
      </c>
      <c r="AX284" s="120">
        <f t="shared" si="167"/>
        <v>0</v>
      </c>
      <c r="AY284" s="120">
        <f t="shared" si="165"/>
        <v>14</v>
      </c>
      <c r="AZ284" s="20" t="s">
        <v>140</v>
      </c>
    </row>
    <row r="285" spans="1:52">
      <c r="A285" s="120" t="s">
        <v>161</v>
      </c>
      <c r="B285" s="120">
        <f t="shared" si="170"/>
        <v>0</v>
      </c>
      <c r="C285" s="120">
        <f t="shared" si="170"/>
        <v>1</v>
      </c>
      <c r="D285" s="120">
        <f t="shared" si="170"/>
        <v>1</v>
      </c>
      <c r="E285" s="120">
        <f t="shared" si="170"/>
        <v>1</v>
      </c>
      <c r="F285" s="120">
        <f t="shared" si="170"/>
        <v>1</v>
      </c>
      <c r="G285" s="120">
        <f t="shared" si="170"/>
        <v>1</v>
      </c>
      <c r="H285" s="120">
        <f t="shared" si="170"/>
        <v>0</v>
      </c>
      <c r="I285" s="120">
        <f t="shared" si="170"/>
        <v>1</v>
      </c>
      <c r="J285" s="120">
        <f t="shared" si="170"/>
        <v>0</v>
      </c>
      <c r="K285" s="120">
        <f t="shared" si="170"/>
        <v>0</v>
      </c>
      <c r="L285" s="120">
        <f t="shared" si="170"/>
        <v>1</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1</v>
      </c>
      <c r="V285" s="120">
        <f t="shared" si="170"/>
        <v>1</v>
      </c>
      <c r="W285" s="120">
        <f t="shared" si="170"/>
        <v>0</v>
      </c>
      <c r="X285" s="120">
        <f t="shared" si="170"/>
        <v>0</v>
      </c>
      <c r="Y285" s="120">
        <f t="shared" si="170"/>
        <v>1</v>
      </c>
      <c r="AA285" s="120">
        <f t="shared" si="169"/>
        <v>0</v>
      </c>
      <c r="AB285" s="120">
        <f t="shared" si="169"/>
        <v>1</v>
      </c>
      <c r="AC285" s="120">
        <f t="shared" si="169"/>
        <v>1</v>
      </c>
      <c r="AD285" s="120">
        <f t="shared" si="169"/>
        <v>1</v>
      </c>
      <c r="AE285" s="120">
        <f t="shared" si="169"/>
        <v>1</v>
      </c>
      <c r="AF285" s="120">
        <f t="shared" si="169"/>
        <v>1</v>
      </c>
      <c r="AG285" s="120">
        <f t="shared" si="169"/>
        <v>0</v>
      </c>
      <c r="AH285" s="120">
        <f t="shared" si="169"/>
        <v>1</v>
      </c>
      <c r="AI285" s="120">
        <f t="shared" si="169"/>
        <v>0</v>
      </c>
      <c r="AJ285" s="120">
        <f t="shared" si="169"/>
        <v>0</v>
      </c>
      <c r="AK285" s="120">
        <f t="shared" si="169"/>
        <v>1</v>
      </c>
      <c r="AL285" s="120">
        <f t="shared" si="169"/>
        <v>0.5</v>
      </c>
      <c r="AM285" s="120">
        <f t="shared" si="169"/>
        <v>1</v>
      </c>
      <c r="AN285" s="120">
        <f t="shared" si="169"/>
        <v>1</v>
      </c>
      <c r="AO285" s="120">
        <f t="shared" si="169"/>
        <v>1</v>
      </c>
      <c r="AP285" s="120">
        <f t="shared" si="167"/>
        <v>1</v>
      </c>
      <c r="AQ285" s="120">
        <f t="shared" si="167"/>
        <v>1</v>
      </c>
      <c r="AR285" s="120">
        <f t="shared" si="167"/>
        <v>1</v>
      </c>
      <c r="AS285" s="120">
        <f t="shared" si="167"/>
        <v>1</v>
      </c>
      <c r="AT285" s="120">
        <f t="shared" si="167"/>
        <v>1</v>
      </c>
      <c r="AU285" s="120">
        <f t="shared" si="167"/>
        <v>1</v>
      </c>
      <c r="AV285" s="120">
        <f t="shared" si="167"/>
        <v>0</v>
      </c>
      <c r="AW285" s="120">
        <f t="shared" si="167"/>
        <v>0</v>
      </c>
      <c r="AX285" s="120">
        <f t="shared" si="167"/>
        <v>1</v>
      </c>
      <c r="AY285" s="120">
        <f t="shared" si="165"/>
        <v>17.5</v>
      </c>
      <c r="AZ285" s="20" t="s">
        <v>140</v>
      </c>
    </row>
    <row r="286" spans="1:52">
      <c r="A286" s="120" t="s">
        <v>162</v>
      </c>
      <c r="B286" s="120">
        <f t="shared" si="170"/>
        <v>1</v>
      </c>
      <c r="C286" s="120">
        <f t="shared" si="170"/>
        <v>1</v>
      </c>
      <c r="D286" s="120">
        <f t="shared" si="170"/>
        <v>0</v>
      </c>
      <c r="E286" s="120">
        <f t="shared" si="170"/>
        <v>0</v>
      </c>
      <c r="F286" s="120">
        <f t="shared" si="170"/>
        <v>0</v>
      </c>
      <c r="G286" s="120">
        <f t="shared" si="170"/>
        <v>0</v>
      </c>
      <c r="H286" s="120">
        <f t="shared" si="170"/>
        <v>0</v>
      </c>
      <c r="I286" s="120">
        <f t="shared" si="170"/>
        <v>0</v>
      </c>
      <c r="J286" s="120">
        <f t="shared" si="170"/>
        <v>1</v>
      </c>
      <c r="K286" s="120">
        <f t="shared" si="170"/>
        <v>0</v>
      </c>
      <c r="L286" s="120">
        <f t="shared" si="170"/>
        <v>0</v>
      </c>
      <c r="M286" s="120">
        <f t="shared" si="170"/>
        <v>0</v>
      </c>
      <c r="N286" s="120">
        <f t="shared" si="170"/>
        <v>1</v>
      </c>
      <c r="O286" s="120">
        <f t="shared" si="170"/>
        <v>1</v>
      </c>
      <c r="P286" s="120">
        <f t="shared" si="170"/>
        <v>0</v>
      </c>
      <c r="Q286" s="120">
        <f t="shared" si="170"/>
        <v>0</v>
      </c>
      <c r="R286" s="120">
        <f t="shared" si="170"/>
        <v>0</v>
      </c>
      <c r="S286" s="120">
        <f t="shared" si="170"/>
        <v>0</v>
      </c>
      <c r="T286" s="120">
        <f t="shared" si="170"/>
        <v>1</v>
      </c>
      <c r="U286" s="120">
        <f t="shared" si="170"/>
        <v>0</v>
      </c>
      <c r="V286" s="120">
        <f t="shared" si="170"/>
        <v>0</v>
      </c>
      <c r="W286" s="120">
        <f t="shared" si="170"/>
        <v>0</v>
      </c>
      <c r="X286" s="120">
        <f t="shared" si="170"/>
        <v>0</v>
      </c>
      <c r="Y286" s="120">
        <f t="shared" si="170"/>
        <v>0</v>
      </c>
      <c r="AA286" s="120">
        <f t="shared" si="169"/>
        <v>1</v>
      </c>
      <c r="AB286" s="120">
        <f t="shared" si="169"/>
        <v>0.5</v>
      </c>
      <c r="AC286" s="120">
        <f t="shared" si="169"/>
        <v>0</v>
      </c>
      <c r="AD286" s="120">
        <f t="shared" si="169"/>
        <v>0</v>
      </c>
      <c r="AE286" s="120">
        <f t="shared" si="169"/>
        <v>0</v>
      </c>
      <c r="AF286" s="120">
        <f t="shared" si="169"/>
        <v>0</v>
      </c>
      <c r="AG286" s="120">
        <f t="shared" si="169"/>
        <v>0</v>
      </c>
      <c r="AH286" s="120">
        <f t="shared" si="169"/>
        <v>0</v>
      </c>
      <c r="AI286" s="120">
        <f t="shared" si="169"/>
        <v>1</v>
      </c>
      <c r="AJ286" s="120">
        <f t="shared" si="169"/>
        <v>0</v>
      </c>
      <c r="AK286" s="120">
        <f t="shared" si="169"/>
        <v>0</v>
      </c>
      <c r="AL286" s="120">
        <f t="shared" si="169"/>
        <v>0</v>
      </c>
      <c r="AM286" s="120">
        <f t="shared" si="169"/>
        <v>1</v>
      </c>
      <c r="AN286" s="120">
        <f t="shared" si="169"/>
        <v>1</v>
      </c>
      <c r="AO286" s="120">
        <f t="shared" si="169"/>
        <v>0</v>
      </c>
      <c r="AP286" s="120">
        <f t="shared" si="167"/>
        <v>0</v>
      </c>
      <c r="AQ286" s="120">
        <f t="shared" si="167"/>
        <v>0</v>
      </c>
      <c r="AR286" s="120">
        <f t="shared" si="167"/>
        <v>0</v>
      </c>
      <c r="AS286" s="120">
        <f t="shared" si="167"/>
        <v>1</v>
      </c>
      <c r="AT286" s="120">
        <f t="shared" si="167"/>
        <v>0</v>
      </c>
      <c r="AU286" s="120">
        <f t="shared" si="167"/>
        <v>0</v>
      </c>
      <c r="AV286" s="120">
        <f t="shared" si="167"/>
        <v>0</v>
      </c>
      <c r="AW286" s="120">
        <f t="shared" si="167"/>
        <v>0</v>
      </c>
      <c r="AX286" s="120">
        <f t="shared" si="167"/>
        <v>0</v>
      </c>
      <c r="AY286" s="120">
        <f t="shared" si="165"/>
        <v>5.5</v>
      </c>
      <c r="AZ286" s="20" t="s">
        <v>140</v>
      </c>
    </row>
    <row r="287" spans="1:52">
      <c r="A287" s="120" t="s">
        <v>163</v>
      </c>
      <c r="B287" s="120">
        <f t="shared" si="170"/>
        <v>0</v>
      </c>
      <c r="C287" s="120">
        <f t="shared" si="170"/>
        <v>0</v>
      </c>
      <c r="D287" s="120">
        <f t="shared" si="170"/>
        <v>0</v>
      </c>
      <c r="E287" s="120">
        <f t="shared" si="170"/>
        <v>0</v>
      </c>
      <c r="F287" s="120">
        <f t="shared" si="170"/>
        <v>0</v>
      </c>
      <c r="G287" s="120">
        <f t="shared" si="170"/>
        <v>1</v>
      </c>
      <c r="H287" s="120">
        <f t="shared" si="170"/>
        <v>0</v>
      </c>
      <c r="I287" s="120">
        <f t="shared" si="170"/>
        <v>0</v>
      </c>
      <c r="J287" s="120">
        <f t="shared" si="170"/>
        <v>0</v>
      </c>
      <c r="K287" s="120">
        <f t="shared" si="170"/>
        <v>0</v>
      </c>
      <c r="L287" s="120">
        <f t="shared" si="170"/>
        <v>0</v>
      </c>
      <c r="M287" s="120">
        <f t="shared" si="170"/>
        <v>0</v>
      </c>
      <c r="N287" s="120">
        <f t="shared" si="170"/>
        <v>0</v>
      </c>
      <c r="O287" s="120">
        <f t="shared" si="170"/>
        <v>0</v>
      </c>
      <c r="P287" s="120">
        <f t="shared" si="170"/>
        <v>0</v>
      </c>
      <c r="Q287" s="120">
        <f t="shared" si="170"/>
        <v>1</v>
      </c>
      <c r="R287" s="120">
        <f t="shared" si="170"/>
        <v>1</v>
      </c>
      <c r="S287" s="120">
        <f t="shared" si="170"/>
        <v>0</v>
      </c>
      <c r="T287" s="120">
        <f t="shared" si="170"/>
        <v>1</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1</v>
      </c>
      <c r="AG287" s="120">
        <f t="shared" si="169"/>
        <v>0</v>
      </c>
      <c r="AH287" s="120">
        <f t="shared" si="169"/>
        <v>0</v>
      </c>
      <c r="AI287" s="120">
        <f t="shared" si="169"/>
        <v>0</v>
      </c>
      <c r="AJ287" s="120">
        <f t="shared" si="169"/>
        <v>0</v>
      </c>
      <c r="AK287" s="120">
        <f t="shared" si="169"/>
        <v>0</v>
      </c>
      <c r="AL287" s="120">
        <f t="shared" si="169"/>
        <v>0</v>
      </c>
      <c r="AM287" s="120">
        <f t="shared" si="169"/>
        <v>0</v>
      </c>
      <c r="AN287" s="120">
        <f t="shared" si="169"/>
        <v>0</v>
      </c>
      <c r="AO287" s="120">
        <f t="shared" si="169"/>
        <v>0</v>
      </c>
      <c r="AP287" s="120">
        <f t="shared" si="167"/>
        <v>1</v>
      </c>
      <c r="AQ287" s="120">
        <f t="shared" si="167"/>
        <v>1</v>
      </c>
      <c r="AR287" s="120">
        <f t="shared" si="167"/>
        <v>0</v>
      </c>
      <c r="AS287" s="120">
        <f t="shared" si="167"/>
        <v>1</v>
      </c>
      <c r="AT287" s="120">
        <f t="shared" si="167"/>
        <v>0</v>
      </c>
      <c r="AU287" s="120">
        <f t="shared" si="167"/>
        <v>0</v>
      </c>
      <c r="AV287" s="120">
        <f t="shared" si="167"/>
        <v>0</v>
      </c>
      <c r="AW287" s="120">
        <f t="shared" si="167"/>
        <v>0</v>
      </c>
      <c r="AX287" s="120">
        <f t="shared" si="167"/>
        <v>0</v>
      </c>
      <c r="AY287" s="120">
        <f t="shared" si="165"/>
        <v>4</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0</v>
      </c>
      <c r="I288" s="120">
        <f t="shared" si="170"/>
        <v>0</v>
      </c>
      <c r="J288" s="120">
        <f t="shared" si="170"/>
        <v>0</v>
      </c>
      <c r="K288" s="120">
        <f t="shared" si="170"/>
        <v>0</v>
      </c>
      <c r="L288" s="120">
        <f t="shared" si="170"/>
        <v>0</v>
      </c>
      <c r="M288" s="120">
        <f t="shared" si="170"/>
        <v>0</v>
      </c>
      <c r="N288" s="120">
        <f t="shared" si="170"/>
        <v>1</v>
      </c>
      <c r="O288" s="120">
        <f t="shared" si="170"/>
        <v>1</v>
      </c>
      <c r="P288" s="120">
        <f t="shared" si="170"/>
        <v>1</v>
      </c>
      <c r="Q288" s="120">
        <f t="shared" si="170"/>
        <v>0</v>
      </c>
      <c r="R288" s="120">
        <f t="shared" si="170"/>
        <v>1</v>
      </c>
      <c r="S288" s="120">
        <f t="shared" si="170"/>
        <v>1</v>
      </c>
      <c r="T288" s="120">
        <f t="shared" si="170"/>
        <v>0</v>
      </c>
      <c r="U288" s="120">
        <f t="shared" si="170"/>
        <v>0</v>
      </c>
      <c r="V288" s="120">
        <f t="shared" si="170"/>
        <v>0</v>
      </c>
      <c r="W288" s="120">
        <f t="shared" si="170"/>
        <v>0</v>
      </c>
      <c r="X288" s="120">
        <f t="shared" si="170"/>
        <v>1</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0</v>
      </c>
      <c r="AI288" s="120">
        <f t="shared" si="169"/>
        <v>0</v>
      </c>
      <c r="AJ288" s="120">
        <f t="shared" si="169"/>
        <v>0</v>
      </c>
      <c r="AK288" s="120">
        <f t="shared" si="169"/>
        <v>0</v>
      </c>
      <c r="AL288" s="120">
        <f t="shared" si="169"/>
        <v>0</v>
      </c>
      <c r="AM288" s="120">
        <f t="shared" si="169"/>
        <v>0.5</v>
      </c>
      <c r="AN288" s="120">
        <f t="shared" si="169"/>
        <v>1</v>
      </c>
      <c r="AO288" s="120">
        <f t="shared" si="169"/>
        <v>1</v>
      </c>
      <c r="AP288" s="120">
        <f t="shared" si="167"/>
        <v>0</v>
      </c>
      <c r="AQ288" s="120">
        <f t="shared" si="167"/>
        <v>1</v>
      </c>
      <c r="AR288" s="120">
        <f t="shared" si="167"/>
        <v>1</v>
      </c>
      <c r="AS288" s="120">
        <f t="shared" si="167"/>
        <v>0</v>
      </c>
      <c r="AT288" s="120">
        <f t="shared" si="167"/>
        <v>0</v>
      </c>
      <c r="AU288" s="120">
        <f t="shared" si="167"/>
        <v>0</v>
      </c>
      <c r="AV288" s="120">
        <f t="shared" si="167"/>
        <v>0</v>
      </c>
      <c r="AW288" s="120">
        <f t="shared" si="167"/>
        <v>0.5</v>
      </c>
      <c r="AX288" s="120">
        <f t="shared" si="167"/>
        <v>0</v>
      </c>
      <c r="AY288" s="120">
        <f t="shared" si="165"/>
        <v>5</v>
      </c>
      <c r="AZ288" s="20" t="s">
        <v>140</v>
      </c>
    </row>
    <row r="289" spans="1:52">
      <c r="A289" s="120" t="s">
        <v>165</v>
      </c>
      <c r="B289" s="120">
        <f t="shared" si="170"/>
        <v>0</v>
      </c>
      <c r="C289" s="120">
        <f t="shared" si="170"/>
        <v>0</v>
      </c>
      <c r="D289" s="120">
        <f t="shared" si="170"/>
        <v>0</v>
      </c>
      <c r="E289" s="120">
        <f t="shared" si="170"/>
        <v>0</v>
      </c>
      <c r="F289" s="120">
        <f t="shared" si="170"/>
        <v>0</v>
      </c>
      <c r="G289" s="120">
        <f t="shared" si="170"/>
        <v>0</v>
      </c>
      <c r="H289" s="120">
        <f t="shared" si="170"/>
        <v>0</v>
      </c>
      <c r="I289" s="120">
        <f t="shared" si="170"/>
        <v>0</v>
      </c>
      <c r="J289" s="120">
        <f t="shared" si="170"/>
        <v>0</v>
      </c>
      <c r="K289" s="120">
        <f t="shared" si="170"/>
        <v>0</v>
      </c>
      <c r="L289" s="120">
        <f t="shared" si="170"/>
        <v>0</v>
      </c>
      <c r="M289" s="120">
        <f t="shared" si="170"/>
        <v>1</v>
      </c>
      <c r="N289" s="120">
        <f t="shared" si="170"/>
        <v>0</v>
      </c>
      <c r="O289" s="120">
        <f t="shared" si="170"/>
        <v>1</v>
      </c>
      <c r="P289" s="120">
        <f t="shared" si="170"/>
        <v>0</v>
      </c>
      <c r="Q289" s="120">
        <f t="shared" si="170"/>
        <v>1</v>
      </c>
      <c r="R289" s="120">
        <f t="shared" si="170"/>
        <v>1</v>
      </c>
      <c r="S289" s="120">
        <f t="shared" si="170"/>
        <v>1</v>
      </c>
      <c r="T289" s="120">
        <f t="shared" si="170"/>
        <v>1</v>
      </c>
      <c r="U289" s="120">
        <f t="shared" si="170"/>
        <v>0</v>
      </c>
      <c r="V289" s="120">
        <f t="shared" si="170"/>
        <v>0</v>
      </c>
      <c r="W289" s="120">
        <f t="shared" si="170"/>
        <v>0</v>
      </c>
      <c r="X289" s="120">
        <f t="shared" si="170"/>
        <v>0</v>
      </c>
      <c r="Y289" s="120">
        <f t="shared" si="170"/>
        <v>0</v>
      </c>
      <c r="AA289" s="120">
        <f t="shared" si="169"/>
        <v>0</v>
      </c>
      <c r="AB289" s="120">
        <f t="shared" si="169"/>
        <v>0</v>
      </c>
      <c r="AC289" s="120">
        <f t="shared" si="169"/>
        <v>0</v>
      </c>
      <c r="AD289" s="120">
        <f t="shared" si="169"/>
        <v>0</v>
      </c>
      <c r="AE289" s="120">
        <f t="shared" si="169"/>
        <v>0</v>
      </c>
      <c r="AF289" s="120">
        <f t="shared" si="169"/>
        <v>0</v>
      </c>
      <c r="AG289" s="120">
        <f t="shared" si="169"/>
        <v>0</v>
      </c>
      <c r="AH289" s="120">
        <f t="shared" si="169"/>
        <v>0</v>
      </c>
      <c r="AI289" s="120">
        <f t="shared" si="169"/>
        <v>0</v>
      </c>
      <c r="AJ289" s="120">
        <f t="shared" si="169"/>
        <v>0</v>
      </c>
      <c r="AK289" s="120">
        <f t="shared" si="169"/>
        <v>0</v>
      </c>
      <c r="AL289" s="120">
        <f t="shared" si="169"/>
        <v>1</v>
      </c>
      <c r="AM289" s="120">
        <f t="shared" si="169"/>
        <v>0</v>
      </c>
      <c r="AN289" s="120">
        <f t="shared" si="169"/>
        <v>1</v>
      </c>
      <c r="AO289" s="120">
        <f t="shared" si="169"/>
        <v>0</v>
      </c>
      <c r="AP289" s="120">
        <f t="shared" si="167"/>
        <v>1</v>
      </c>
      <c r="AQ289" s="120">
        <f t="shared" si="167"/>
        <v>1</v>
      </c>
      <c r="AR289" s="120">
        <f t="shared" si="167"/>
        <v>1</v>
      </c>
      <c r="AS289" s="120">
        <f t="shared" si="167"/>
        <v>1</v>
      </c>
      <c r="AT289" s="120">
        <f t="shared" si="167"/>
        <v>0</v>
      </c>
      <c r="AU289" s="120">
        <f t="shared" si="167"/>
        <v>0</v>
      </c>
      <c r="AV289" s="120">
        <f t="shared" si="167"/>
        <v>0</v>
      </c>
      <c r="AW289" s="120">
        <f t="shared" si="167"/>
        <v>0</v>
      </c>
      <c r="AX289" s="120">
        <f t="shared" si="167"/>
        <v>0</v>
      </c>
      <c r="AY289" s="120">
        <f t="shared" si="165"/>
        <v>6</v>
      </c>
      <c r="AZ289" s="20" t="s">
        <v>140</v>
      </c>
    </row>
    <row r="290" spans="1:52">
      <c r="A290" s="120" t="s">
        <v>166</v>
      </c>
      <c r="B290" s="120">
        <f t="shared" si="170"/>
        <v>0</v>
      </c>
      <c r="C290" s="120">
        <f t="shared" si="170"/>
        <v>0</v>
      </c>
      <c r="D290" s="120">
        <f t="shared" si="170"/>
        <v>0</v>
      </c>
      <c r="E290" s="120">
        <f t="shared" si="170"/>
        <v>0</v>
      </c>
      <c r="F290" s="120">
        <f t="shared" si="170"/>
        <v>0</v>
      </c>
      <c r="G290" s="120">
        <f t="shared" si="170"/>
        <v>0</v>
      </c>
      <c r="H290" s="120">
        <f t="shared" si="170"/>
        <v>0</v>
      </c>
      <c r="I290" s="120">
        <f t="shared" si="170"/>
        <v>0</v>
      </c>
      <c r="J290" s="120">
        <f t="shared" si="170"/>
        <v>0</v>
      </c>
      <c r="K290" s="120">
        <f t="shared" si="170"/>
        <v>0</v>
      </c>
      <c r="L290" s="120">
        <f t="shared" si="170"/>
        <v>1</v>
      </c>
      <c r="M290" s="120">
        <f t="shared" si="170"/>
        <v>1</v>
      </c>
      <c r="N290" s="120">
        <f t="shared" si="170"/>
        <v>1</v>
      </c>
      <c r="O290" s="120">
        <f t="shared" si="170"/>
        <v>1</v>
      </c>
      <c r="P290" s="120">
        <f t="shared" si="170"/>
        <v>1</v>
      </c>
      <c r="Q290" s="120">
        <f t="shared" si="170"/>
        <v>1</v>
      </c>
      <c r="R290" s="120">
        <f t="shared" si="170"/>
        <v>1</v>
      </c>
      <c r="S290" s="120">
        <f t="shared" si="170"/>
        <v>1</v>
      </c>
      <c r="T290" s="120">
        <f t="shared" si="170"/>
        <v>0</v>
      </c>
      <c r="U290" s="120">
        <f t="shared" si="170"/>
        <v>0</v>
      </c>
      <c r="V290" s="120">
        <f t="shared" si="170"/>
        <v>0</v>
      </c>
      <c r="W290" s="120">
        <f t="shared" si="170"/>
        <v>0</v>
      </c>
      <c r="X290" s="120">
        <f t="shared" si="170"/>
        <v>0</v>
      </c>
      <c r="Y290" s="120">
        <f t="shared" si="170"/>
        <v>0</v>
      </c>
      <c r="AA290" s="120">
        <f t="shared" si="169"/>
        <v>0</v>
      </c>
      <c r="AB290" s="120">
        <f t="shared" si="169"/>
        <v>0</v>
      </c>
      <c r="AC290" s="120">
        <f t="shared" si="169"/>
        <v>0</v>
      </c>
      <c r="AD290" s="120">
        <f t="shared" si="169"/>
        <v>0</v>
      </c>
      <c r="AE290" s="120">
        <f t="shared" si="169"/>
        <v>0</v>
      </c>
      <c r="AF290" s="120">
        <f t="shared" si="169"/>
        <v>0</v>
      </c>
      <c r="AG290" s="120">
        <f t="shared" si="169"/>
        <v>0</v>
      </c>
      <c r="AH290" s="120">
        <f t="shared" si="169"/>
        <v>0</v>
      </c>
      <c r="AI290" s="120">
        <f t="shared" si="169"/>
        <v>0</v>
      </c>
      <c r="AJ290" s="120">
        <f t="shared" si="169"/>
        <v>0</v>
      </c>
      <c r="AK290" s="120">
        <f t="shared" si="169"/>
        <v>1</v>
      </c>
      <c r="AL290" s="120">
        <f t="shared" si="169"/>
        <v>1</v>
      </c>
      <c r="AM290" s="120">
        <f t="shared" si="169"/>
        <v>1</v>
      </c>
      <c r="AN290" s="120">
        <f t="shared" si="169"/>
        <v>1</v>
      </c>
      <c r="AO290" s="120">
        <f t="shared" si="169"/>
        <v>0.5</v>
      </c>
      <c r="AP290" s="120">
        <f t="shared" si="167"/>
        <v>0.5</v>
      </c>
      <c r="AQ290" s="120">
        <f t="shared" si="167"/>
        <v>0.5</v>
      </c>
      <c r="AR290" s="120">
        <f t="shared" si="167"/>
        <v>1</v>
      </c>
      <c r="AS290" s="120">
        <f t="shared" si="167"/>
        <v>0</v>
      </c>
      <c r="AT290" s="120">
        <f t="shared" si="167"/>
        <v>0</v>
      </c>
      <c r="AU290" s="120">
        <f t="shared" si="167"/>
        <v>0</v>
      </c>
      <c r="AV290" s="120">
        <f t="shared" si="167"/>
        <v>0</v>
      </c>
      <c r="AW290" s="120">
        <f t="shared" si="167"/>
        <v>0</v>
      </c>
      <c r="AX290" s="120">
        <f t="shared" si="167"/>
        <v>0</v>
      </c>
      <c r="AY290" s="120">
        <f t="shared" si="165"/>
        <v>6.5</v>
      </c>
      <c r="AZ290" s="20" t="s">
        <v>140</v>
      </c>
    </row>
    <row r="291" spans="1:52">
      <c r="A291" s="120" t="s">
        <v>167</v>
      </c>
      <c r="B291" s="120">
        <f t="shared" si="170"/>
        <v>0</v>
      </c>
      <c r="C291" s="120">
        <f t="shared" si="170"/>
        <v>0</v>
      </c>
      <c r="D291" s="120">
        <f t="shared" si="170"/>
        <v>0</v>
      </c>
      <c r="E291" s="120">
        <f t="shared" si="170"/>
        <v>0</v>
      </c>
      <c r="F291" s="120">
        <f t="shared" si="170"/>
        <v>0</v>
      </c>
      <c r="G291" s="120">
        <f t="shared" si="170"/>
        <v>0</v>
      </c>
      <c r="H291" s="120">
        <f t="shared" si="170"/>
        <v>0</v>
      </c>
      <c r="I291" s="120">
        <f t="shared" si="170"/>
        <v>0</v>
      </c>
      <c r="J291" s="120">
        <f t="shared" si="170"/>
        <v>0</v>
      </c>
      <c r="K291" s="120">
        <f t="shared" si="170"/>
        <v>0</v>
      </c>
      <c r="L291" s="120">
        <f t="shared" si="170"/>
        <v>1</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0</v>
      </c>
      <c r="T291" s="120">
        <f t="shared" si="171"/>
        <v>0</v>
      </c>
      <c r="U291" s="120">
        <f t="shared" si="171"/>
        <v>0</v>
      </c>
      <c r="V291" s="120">
        <f t="shared" si="171"/>
        <v>0</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0</v>
      </c>
      <c r="AG291" s="120">
        <f t="shared" si="169"/>
        <v>0</v>
      </c>
      <c r="AH291" s="120">
        <f t="shared" si="169"/>
        <v>0</v>
      </c>
      <c r="AI291" s="120">
        <f t="shared" si="169"/>
        <v>0</v>
      </c>
      <c r="AJ291" s="120">
        <f t="shared" si="169"/>
        <v>0</v>
      </c>
      <c r="AK291" s="120">
        <f t="shared" si="169"/>
        <v>1</v>
      </c>
      <c r="AL291" s="120">
        <f t="shared" si="169"/>
        <v>1</v>
      </c>
      <c r="AM291" s="120">
        <f t="shared" si="169"/>
        <v>1</v>
      </c>
      <c r="AN291" s="120">
        <f t="shared" si="169"/>
        <v>1</v>
      </c>
      <c r="AO291" s="120">
        <f t="shared" si="169"/>
        <v>1</v>
      </c>
      <c r="AP291" s="120">
        <f t="shared" si="167"/>
        <v>1</v>
      </c>
      <c r="AQ291" s="120">
        <f t="shared" si="167"/>
        <v>1</v>
      </c>
      <c r="AR291" s="120">
        <f t="shared" si="167"/>
        <v>0</v>
      </c>
      <c r="AS291" s="120">
        <f t="shared" si="167"/>
        <v>0</v>
      </c>
      <c r="AT291" s="120">
        <f t="shared" si="167"/>
        <v>0</v>
      </c>
      <c r="AU291" s="120">
        <f t="shared" si="167"/>
        <v>0</v>
      </c>
      <c r="AV291" s="120">
        <f t="shared" si="167"/>
        <v>0</v>
      </c>
      <c r="AW291" s="120">
        <f t="shared" si="167"/>
        <v>0</v>
      </c>
      <c r="AX291" s="120">
        <f t="shared" si="167"/>
        <v>0</v>
      </c>
      <c r="AY291" s="120">
        <f t="shared" si="165"/>
        <v>7</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0</v>
      </c>
      <c r="K292" s="120">
        <f t="shared" si="172"/>
        <v>0</v>
      </c>
      <c r="L292" s="120">
        <f t="shared" si="172"/>
        <v>0</v>
      </c>
      <c r="M292" s="120">
        <f t="shared" si="172"/>
        <v>1</v>
      </c>
      <c r="N292" s="120">
        <f t="shared" si="172"/>
        <v>0</v>
      </c>
      <c r="O292" s="120">
        <f t="shared" si="172"/>
        <v>1</v>
      </c>
      <c r="P292" s="120">
        <f t="shared" si="172"/>
        <v>1</v>
      </c>
      <c r="Q292" s="120">
        <f t="shared" si="172"/>
        <v>1</v>
      </c>
      <c r="R292" s="120">
        <f t="shared" si="172"/>
        <v>0</v>
      </c>
      <c r="S292" s="120">
        <f t="shared" si="172"/>
        <v>0</v>
      </c>
      <c r="T292" s="120">
        <f t="shared" si="172"/>
        <v>1</v>
      </c>
      <c r="U292" s="120">
        <f t="shared" si="172"/>
        <v>0</v>
      </c>
      <c r="V292" s="120">
        <f t="shared" si="172"/>
        <v>1</v>
      </c>
      <c r="W292" s="120">
        <f t="shared" si="172"/>
        <v>0</v>
      </c>
      <c r="X292" s="120">
        <f t="shared" si="172"/>
        <v>0</v>
      </c>
      <c r="Y292" s="120">
        <f t="shared" si="172"/>
        <v>1</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0</v>
      </c>
      <c r="AJ292" s="120">
        <f t="shared" si="169"/>
        <v>0</v>
      </c>
      <c r="AK292" s="120">
        <f t="shared" si="169"/>
        <v>0</v>
      </c>
      <c r="AL292" s="120">
        <f t="shared" si="169"/>
        <v>1</v>
      </c>
      <c r="AM292" s="120">
        <f t="shared" si="169"/>
        <v>0</v>
      </c>
      <c r="AN292" s="120">
        <f t="shared" si="169"/>
        <v>1</v>
      </c>
      <c r="AO292" s="120">
        <f t="shared" si="169"/>
        <v>1</v>
      </c>
      <c r="AP292" s="120">
        <f t="shared" si="167"/>
        <v>1</v>
      </c>
      <c r="AQ292" s="120">
        <f t="shared" si="167"/>
        <v>0</v>
      </c>
      <c r="AR292" s="120">
        <f t="shared" si="167"/>
        <v>0</v>
      </c>
      <c r="AS292" s="120">
        <f t="shared" si="167"/>
        <v>1</v>
      </c>
      <c r="AT292" s="120">
        <f t="shared" si="167"/>
        <v>0</v>
      </c>
      <c r="AU292" s="120">
        <f t="shared" si="167"/>
        <v>1</v>
      </c>
      <c r="AV292" s="120">
        <f t="shared" si="167"/>
        <v>0</v>
      </c>
      <c r="AW292" s="120">
        <f t="shared" si="167"/>
        <v>0</v>
      </c>
      <c r="AX292" s="120">
        <f t="shared" si="167"/>
        <v>1</v>
      </c>
      <c r="AY292" s="120">
        <f t="shared" si="165"/>
        <v>7</v>
      </c>
      <c r="AZ292" s="20" t="s">
        <v>140</v>
      </c>
    </row>
    <row r="293" spans="1:52">
      <c r="A293" s="120" t="s">
        <v>169</v>
      </c>
      <c r="B293" s="120">
        <f t="shared" si="172"/>
        <v>0</v>
      </c>
      <c r="C293" s="120">
        <f t="shared" si="172"/>
        <v>0</v>
      </c>
      <c r="D293" s="120">
        <f t="shared" si="172"/>
        <v>0</v>
      </c>
      <c r="E293" s="120">
        <f t="shared" si="172"/>
        <v>0</v>
      </c>
      <c r="F293" s="120">
        <f t="shared" si="172"/>
        <v>0</v>
      </c>
      <c r="G293" s="120">
        <f t="shared" si="172"/>
        <v>0</v>
      </c>
      <c r="H293" s="120">
        <f t="shared" si="172"/>
        <v>0</v>
      </c>
      <c r="I293" s="120">
        <f t="shared" si="172"/>
        <v>0</v>
      </c>
      <c r="J293" s="120">
        <f t="shared" si="172"/>
        <v>1</v>
      </c>
      <c r="K293" s="120">
        <f t="shared" si="172"/>
        <v>1</v>
      </c>
      <c r="L293" s="120">
        <f t="shared" si="172"/>
        <v>0</v>
      </c>
      <c r="M293" s="120">
        <f t="shared" si="172"/>
        <v>1</v>
      </c>
      <c r="N293" s="120">
        <f t="shared" si="172"/>
        <v>1</v>
      </c>
      <c r="O293" s="120">
        <f t="shared" si="172"/>
        <v>1</v>
      </c>
      <c r="P293" s="120">
        <f t="shared" si="172"/>
        <v>0</v>
      </c>
      <c r="Q293" s="120">
        <f t="shared" si="172"/>
        <v>1</v>
      </c>
      <c r="R293" s="120">
        <f t="shared" si="172"/>
        <v>1</v>
      </c>
      <c r="S293" s="120">
        <f t="shared" si="172"/>
        <v>0</v>
      </c>
      <c r="T293" s="120">
        <f t="shared" si="172"/>
        <v>1</v>
      </c>
      <c r="U293" s="120">
        <f t="shared" si="172"/>
        <v>0</v>
      </c>
      <c r="V293" s="120">
        <f t="shared" si="172"/>
        <v>0</v>
      </c>
      <c r="W293" s="120">
        <f t="shared" si="172"/>
        <v>0</v>
      </c>
      <c r="X293" s="120">
        <f t="shared" si="172"/>
        <v>0</v>
      </c>
      <c r="Y293" s="120">
        <f t="shared" si="172"/>
        <v>1</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0</v>
      </c>
      <c r="AI293" s="120">
        <f t="shared" si="169"/>
        <v>1</v>
      </c>
      <c r="AJ293" s="120">
        <f t="shared" si="169"/>
        <v>0.5</v>
      </c>
      <c r="AK293" s="120">
        <f t="shared" si="169"/>
        <v>0</v>
      </c>
      <c r="AL293" s="120">
        <f t="shared" si="169"/>
        <v>1</v>
      </c>
      <c r="AM293" s="120">
        <f t="shared" si="169"/>
        <v>1</v>
      </c>
      <c r="AN293" s="120">
        <f t="shared" si="169"/>
        <v>1</v>
      </c>
      <c r="AO293" s="120">
        <f t="shared" si="169"/>
        <v>0</v>
      </c>
      <c r="AP293" s="120">
        <f t="shared" si="167"/>
        <v>1</v>
      </c>
      <c r="AQ293" s="120">
        <f t="shared" si="167"/>
        <v>1</v>
      </c>
      <c r="AR293" s="120">
        <f t="shared" si="167"/>
        <v>0</v>
      </c>
      <c r="AS293" s="120">
        <f t="shared" si="167"/>
        <v>1</v>
      </c>
      <c r="AT293" s="120">
        <f t="shared" si="167"/>
        <v>0</v>
      </c>
      <c r="AU293" s="120">
        <f t="shared" si="167"/>
        <v>0</v>
      </c>
      <c r="AV293" s="120">
        <f t="shared" si="167"/>
        <v>0</v>
      </c>
      <c r="AW293" s="120">
        <f t="shared" si="167"/>
        <v>0</v>
      </c>
      <c r="AX293" s="120">
        <f t="shared" si="167"/>
        <v>1</v>
      </c>
      <c r="AY293" s="120">
        <f t="shared" si="165"/>
        <v>8.5</v>
      </c>
      <c r="AZ293" s="20" t="s">
        <v>140</v>
      </c>
    </row>
    <row r="294" spans="1:52">
      <c r="A294" s="120" t="s">
        <v>170</v>
      </c>
      <c r="B294" s="120">
        <f t="shared" si="172"/>
        <v>1</v>
      </c>
      <c r="C294" s="120">
        <f t="shared" si="172"/>
        <v>1</v>
      </c>
      <c r="D294" s="120">
        <f t="shared" si="172"/>
        <v>1</v>
      </c>
      <c r="E294" s="120">
        <f t="shared" si="172"/>
        <v>1</v>
      </c>
      <c r="F294" s="120">
        <f t="shared" si="172"/>
        <v>1</v>
      </c>
      <c r="G294" s="120">
        <f t="shared" si="172"/>
        <v>1</v>
      </c>
      <c r="H294" s="120">
        <f t="shared" si="172"/>
        <v>1</v>
      </c>
      <c r="I294" s="120">
        <f t="shared" si="172"/>
        <v>0</v>
      </c>
      <c r="J294" s="120">
        <f t="shared" si="172"/>
        <v>1</v>
      </c>
      <c r="K294" s="120">
        <f t="shared" si="172"/>
        <v>1</v>
      </c>
      <c r="L294" s="120">
        <f t="shared" si="172"/>
        <v>1</v>
      </c>
      <c r="M294" s="120">
        <f t="shared" si="172"/>
        <v>1</v>
      </c>
      <c r="N294" s="120">
        <f t="shared" si="172"/>
        <v>1</v>
      </c>
      <c r="O294" s="120">
        <f t="shared" si="172"/>
        <v>1</v>
      </c>
      <c r="P294" s="120">
        <f t="shared" si="172"/>
        <v>1</v>
      </c>
      <c r="Q294" s="120">
        <f t="shared" si="172"/>
        <v>1</v>
      </c>
      <c r="R294" s="120">
        <f t="shared" si="172"/>
        <v>1</v>
      </c>
      <c r="S294" s="120">
        <f t="shared" si="172"/>
        <v>1</v>
      </c>
      <c r="T294" s="120">
        <f t="shared" si="172"/>
        <v>0</v>
      </c>
      <c r="U294" s="120">
        <f t="shared" si="172"/>
        <v>1</v>
      </c>
      <c r="V294" s="120">
        <f t="shared" si="172"/>
        <v>1</v>
      </c>
      <c r="W294" s="120">
        <f t="shared" si="172"/>
        <v>0</v>
      </c>
      <c r="X294" s="120">
        <f t="shared" si="172"/>
        <v>1</v>
      </c>
      <c r="Y294" s="120">
        <f t="shared" si="172"/>
        <v>0</v>
      </c>
      <c r="AA294" s="120">
        <f t="shared" si="169"/>
        <v>1</v>
      </c>
      <c r="AB294" s="120">
        <f t="shared" si="169"/>
        <v>1</v>
      </c>
      <c r="AC294" s="120">
        <f t="shared" si="169"/>
        <v>0.5</v>
      </c>
      <c r="AD294" s="120">
        <f t="shared" si="169"/>
        <v>1</v>
      </c>
      <c r="AE294" s="120">
        <f t="shared" si="169"/>
        <v>1</v>
      </c>
      <c r="AF294" s="120">
        <f t="shared" si="169"/>
        <v>1</v>
      </c>
      <c r="AG294" s="120">
        <f t="shared" si="169"/>
        <v>1</v>
      </c>
      <c r="AH294" s="120">
        <f t="shared" si="169"/>
        <v>0</v>
      </c>
      <c r="AI294" s="120">
        <f t="shared" si="169"/>
        <v>0.5</v>
      </c>
      <c r="AJ294" s="120">
        <f t="shared" si="169"/>
        <v>1</v>
      </c>
      <c r="AK294" s="120">
        <f t="shared" si="169"/>
        <v>1</v>
      </c>
      <c r="AL294" s="120">
        <f t="shared" si="169"/>
        <v>1</v>
      </c>
      <c r="AM294" s="120">
        <f t="shared" si="169"/>
        <v>0.5</v>
      </c>
      <c r="AN294" s="120">
        <f t="shared" si="169"/>
        <v>0.5</v>
      </c>
      <c r="AO294" s="120">
        <f t="shared" si="169"/>
        <v>0.5</v>
      </c>
      <c r="AP294" s="120">
        <f t="shared" si="167"/>
        <v>0.5</v>
      </c>
      <c r="AQ294" s="120">
        <f t="shared" si="167"/>
        <v>0.5</v>
      </c>
      <c r="AR294" s="120">
        <f t="shared" si="167"/>
        <v>1</v>
      </c>
      <c r="AS294" s="120">
        <f t="shared" si="167"/>
        <v>0</v>
      </c>
      <c r="AT294" s="120">
        <f t="shared" si="167"/>
        <v>1</v>
      </c>
      <c r="AU294" s="120">
        <f t="shared" si="167"/>
        <v>0.5</v>
      </c>
      <c r="AV294" s="120">
        <f t="shared" si="167"/>
        <v>0</v>
      </c>
      <c r="AW294" s="120">
        <f t="shared" si="167"/>
        <v>1</v>
      </c>
      <c r="AX294" s="120">
        <f t="shared" si="167"/>
        <v>0</v>
      </c>
      <c r="AY294" s="120">
        <f t="shared" si="165"/>
        <v>16</v>
      </c>
      <c r="AZ294" s="20" t="s">
        <v>140</v>
      </c>
    </row>
    <row r="295" spans="1:52">
      <c r="A295" s="120" t="s">
        <v>171</v>
      </c>
      <c r="B295" s="120">
        <f t="shared" si="172"/>
        <v>1</v>
      </c>
      <c r="C295" s="120">
        <f t="shared" si="172"/>
        <v>1</v>
      </c>
      <c r="D295" s="120">
        <f t="shared" si="172"/>
        <v>1</v>
      </c>
      <c r="E295" s="120">
        <f t="shared" si="172"/>
        <v>1</v>
      </c>
      <c r="F295" s="120">
        <f t="shared" si="172"/>
        <v>1</v>
      </c>
      <c r="G295" s="120">
        <f t="shared" si="172"/>
        <v>1</v>
      </c>
      <c r="H295" s="120">
        <f t="shared" si="172"/>
        <v>1</v>
      </c>
      <c r="I295" s="120">
        <f t="shared" si="172"/>
        <v>0</v>
      </c>
      <c r="J295" s="120">
        <f t="shared" si="172"/>
        <v>1</v>
      </c>
      <c r="K295" s="120">
        <f t="shared" si="172"/>
        <v>1</v>
      </c>
      <c r="L295" s="120">
        <f t="shared" si="172"/>
        <v>1</v>
      </c>
      <c r="M295" s="120">
        <f t="shared" si="172"/>
        <v>1</v>
      </c>
      <c r="N295" s="120">
        <f t="shared" si="172"/>
        <v>1</v>
      </c>
      <c r="O295" s="120">
        <f t="shared" si="172"/>
        <v>1</v>
      </c>
      <c r="P295" s="120">
        <f t="shared" si="172"/>
        <v>1</v>
      </c>
      <c r="Q295" s="120">
        <f t="shared" si="172"/>
        <v>1</v>
      </c>
      <c r="R295" s="120">
        <f t="shared" si="172"/>
        <v>1</v>
      </c>
      <c r="S295" s="120">
        <f t="shared" si="172"/>
        <v>1</v>
      </c>
      <c r="T295" s="120">
        <f t="shared" si="172"/>
        <v>0</v>
      </c>
      <c r="U295" s="120">
        <f t="shared" si="172"/>
        <v>0</v>
      </c>
      <c r="V295" s="120">
        <f t="shared" si="172"/>
        <v>1</v>
      </c>
      <c r="W295" s="120">
        <f t="shared" si="172"/>
        <v>0</v>
      </c>
      <c r="X295" s="120">
        <f t="shared" si="172"/>
        <v>1</v>
      </c>
      <c r="Y295" s="120">
        <f t="shared" si="172"/>
        <v>0</v>
      </c>
      <c r="AA295" s="120">
        <f t="shared" si="169"/>
        <v>0.5</v>
      </c>
      <c r="AB295" s="120">
        <f t="shared" si="169"/>
        <v>1</v>
      </c>
      <c r="AC295" s="120">
        <f t="shared" si="169"/>
        <v>1</v>
      </c>
      <c r="AD295" s="120">
        <f t="shared" si="169"/>
        <v>1</v>
      </c>
      <c r="AE295" s="120">
        <f t="shared" si="169"/>
        <v>1</v>
      </c>
      <c r="AF295" s="120">
        <f t="shared" si="169"/>
        <v>1</v>
      </c>
      <c r="AG295" s="120">
        <f t="shared" si="169"/>
        <v>1</v>
      </c>
      <c r="AH295" s="120">
        <f t="shared" si="169"/>
        <v>0</v>
      </c>
      <c r="AI295" s="120">
        <f t="shared" si="169"/>
        <v>1</v>
      </c>
      <c r="AJ295" s="120">
        <f t="shared" si="169"/>
        <v>1</v>
      </c>
      <c r="AK295" s="120">
        <f t="shared" si="169"/>
        <v>1</v>
      </c>
      <c r="AL295" s="120">
        <f t="shared" si="169"/>
        <v>1</v>
      </c>
      <c r="AM295" s="120">
        <f t="shared" si="169"/>
        <v>1</v>
      </c>
      <c r="AN295" s="120">
        <f t="shared" si="169"/>
        <v>1</v>
      </c>
      <c r="AO295" s="120">
        <f t="shared" si="169"/>
        <v>1</v>
      </c>
      <c r="AP295" s="120">
        <f t="shared" si="169"/>
        <v>1</v>
      </c>
      <c r="AQ295" s="120">
        <f t="shared" ref="AQ295:AX299" si="173">IF(R295=0,0,R295/AQ31)</f>
        <v>1</v>
      </c>
      <c r="AR295" s="120">
        <f t="shared" si="173"/>
        <v>1</v>
      </c>
      <c r="AS295" s="120">
        <f t="shared" si="173"/>
        <v>0</v>
      </c>
      <c r="AT295" s="120">
        <f t="shared" si="173"/>
        <v>0</v>
      </c>
      <c r="AU295" s="120">
        <f t="shared" si="173"/>
        <v>1</v>
      </c>
      <c r="AV295" s="120">
        <f t="shared" si="173"/>
        <v>0</v>
      </c>
      <c r="AW295" s="120">
        <f t="shared" si="173"/>
        <v>1</v>
      </c>
      <c r="AX295" s="120">
        <f t="shared" si="173"/>
        <v>0</v>
      </c>
      <c r="AY295" s="120">
        <f t="shared" si="165"/>
        <v>18.5</v>
      </c>
      <c r="AZ295" s="20" t="s">
        <v>140</v>
      </c>
    </row>
    <row r="296" spans="1:52">
      <c r="A296" s="120" t="s">
        <v>172</v>
      </c>
      <c r="B296" s="120">
        <f t="shared" si="172"/>
        <v>0</v>
      </c>
      <c r="C296" s="120">
        <f t="shared" si="172"/>
        <v>0</v>
      </c>
      <c r="D296" s="120">
        <f t="shared" si="172"/>
        <v>1</v>
      </c>
      <c r="E296" s="120">
        <f t="shared" si="172"/>
        <v>0</v>
      </c>
      <c r="F296" s="120">
        <f t="shared" si="172"/>
        <v>1</v>
      </c>
      <c r="G296" s="120">
        <f t="shared" si="172"/>
        <v>1</v>
      </c>
      <c r="H296" s="120">
        <f t="shared" si="172"/>
        <v>1</v>
      </c>
      <c r="I296" s="120">
        <f t="shared" si="172"/>
        <v>1</v>
      </c>
      <c r="J296" s="120">
        <f t="shared" si="172"/>
        <v>1</v>
      </c>
      <c r="K296" s="120">
        <f t="shared" si="172"/>
        <v>1</v>
      </c>
      <c r="L296" s="120">
        <f t="shared" si="172"/>
        <v>1</v>
      </c>
      <c r="M296" s="120">
        <f t="shared" si="172"/>
        <v>1</v>
      </c>
      <c r="N296" s="120">
        <f t="shared" si="172"/>
        <v>1</v>
      </c>
      <c r="O296" s="120">
        <f t="shared" si="172"/>
        <v>1</v>
      </c>
      <c r="P296" s="120">
        <f t="shared" si="172"/>
        <v>1</v>
      </c>
      <c r="Q296" s="120">
        <f t="shared" si="172"/>
        <v>1</v>
      </c>
      <c r="R296" s="120">
        <f t="shared" si="172"/>
        <v>1</v>
      </c>
      <c r="S296" s="120">
        <f t="shared" si="172"/>
        <v>1</v>
      </c>
      <c r="T296" s="120">
        <f t="shared" si="172"/>
        <v>1</v>
      </c>
      <c r="U296" s="120">
        <f t="shared" si="172"/>
        <v>1</v>
      </c>
      <c r="V296" s="120">
        <f t="shared" si="172"/>
        <v>0</v>
      </c>
      <c r="W296" s="120">
        <f t="shared" si="172"/>
        <v>0</v>
      </c>
      <c r="X296" s="120">
        <f t="shared" si="172"/>
        <v>0</v>
      </c>
      <c r="Y296" s="120">
        <f t="shared" si="172"/>
        <v>0</v>
      </c>
      <c r="AA296" s="120">
        <f t="shared" ref="AA296:AP299" si="174">IF(B296=0,0,B296/AA32)</f>
        <v>0</v>
      </c>
      <c r="AB296" s="120">
        <f t="shared" si="174"/>
        <v>0</v>
      </c>
      <c r="AC296" s="120">
        <f t="shared" si="174"/>
        <v>1</v>
      </c>
      <c r="AD296" s="120">
        <f t="shared" si="174"/>
        <v>0</v>
      </c>
      <c r="AE296" s="120">
        <f t="shared" si="174"/>
        <v>1</v>
      </c>
      <c r="AF296" s="120">
        <f t="shared" si="174"/>
        <v>1</v>
      </c>
      <c r="AG296" s="120">
        <f t="shared" si="174"/>
        <v>1</v>
      </c>
      <c r="AH296" s="120">
        <f t="shared" si="174"/>
        <v>1</v>
      </c>
      <c r="AI296" s="120">
        <f t="shared" si="174"/>
        <v>1</v>
      </c>
      <c r="AJ296" s="120">
        <f t="shared" si="174"/>
        <v>1</v>
      </c>
      <c r="AK296" s="120">
        <f t="shared" si="174"/>
        <v>1</v>
      </c>
      <c r="AL296" s="120">
        <f t="shared" si="174"/>
        <v>0.5</v>
      </c>
      <c r="AM296" s="120">
        <f t="shared" si="174"/>
        <v>1</v>
      </c>
      <c r="AN296" s="120">
        <f t="shared" si="174"/>
        <v>1</v>
      </c>
      <c r="AO296" s="120">
        <f t="shared" si="174"/>
        <v>1</v>
      </c>
      <c r="AP296" s="120">
        <f t="shared" si="174"/>
        <v>1</v>
      </c>
      <c r="AQ296" s="120">
        <f t="shared" si="173"/>
        <v>1</v>
      </c>
      <c r="AR296" s="120">
        <f t="shared" si="173"/>
        <v>1</v>
      </c>
      <c r="AS296" s="120">
        <f t="shared" si="173"/>
        <v>1</v>
      </c>
      <c r="AT296" s="120">
        <f t="shared" si="173"/>
        <v>1</v>
      </c>
      <c r="AU296" s="120">
        <f t="shared" si="173"/>
        <v>0</v>
      </c>
      <c r="AV296" s="120">
        <f t="shared" si="173"/>
        <v>0</v>
      </c>
      <c r="AW296" s="120">
        <f t="shared" si="173"/>
        <v>0</v>
      </c>
      <c r="AX296" s="120">
        <f t="shared" si="173"/>
        <v>0</v>
      </c>
      <c r="AY296" s="120">
        <f t="shared" si="165"/>
        <v>16.5</v>
      </c>
      <c r="AZ296" s="20" t="s">
        <v>140</v>
      </c>
    </row>
    <row r="297" spans="1:52">
      <c r="A297" s="120" t="s">
        <v>173</v>
      </c>
      <c r="B297" s="120">
        <f t="shared" si="172"/>
        <v>0</v>
      </c>
      <c r="C297" s="120">
        <f t="shared" si="172"/>
        <v>0</v>
      </c>
      <c r="D297" s="120">
        <f t="shared" si="172"/>
        <v>0</v>
      </c>
      <c r="E297" s="120">
        <f t="shared" si="172"/>
        <v>0</v>
      </c>
      <c r="F297" s="120">
        <f t="shared" si="172"/>
        <v>1</v>
      </c>
      <c r="G297" s="120">
        <f t="shared" si="172"/>
        <v>0</v>
      </c>
      <c r="H297" s="120">
        <f t="shared" si="172"/>
        <v>1</v>
      </c>
      <c r="I297" s="120">
        <f t="shared" si="172"/>
        <v>0</v>
      </c>
      <c r="J297" s="120">
        <f t="shared" si="172"/>
        <v>0</v>
      </c>
      <c r="K297" s="120">
        <f t="shared" si="172"/>
        <v>0</v>
      </c>
      <c r="L297" s="120">
        <f t="shared" si="172"/>
        <v>1</v>
      </c>
      <c r="M297" s="120">
        <f t="shared" si="172"/>
        <v>1</v>
      </c>
      <c r="N297" s="120">
        <f t="shared" si="172"/>
        <v>1</v>
      </c>
      <c r="O297" s="120">
        <f t="shared" si="172"/>
        <v>1</v>
      </c>
      <c r="P297" s="120">
        <f t="shared" si="172"/>
        <v>1</v>
      </c>
      <c r="Q297" s="120">
        <f t="shared" si="172"/>
        <v>1</v>
      </c>
      <c r="R297" s="120">
        <f t="shared" si="172"/>
        <v>1</v>
      </c>
      <c r="S297" s="120">
        <f t="shared" si="172"/>
        <v>1</v>
      </c>
      <c r="T297" s="120">
        <f t="shared" si="172"/>
        <v>0</v>
      </c>
      <c r="U297" s="120">
        <f t="shared" si="172"/>
        <v>0</v>
      </c>
      <c r="V297" s="120">
        <f t="shared" si="172"/>
        <v>1</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1</v>
      </c>
      <c r="AF297" s="120">
        <f t="shared" si="174"/>
        <v>0</v>
      </c>
      <c r="AG297" s="120">
        <f t="shared" si="174"/>
        <v>1</v>
      </c>
      <c r="AH297" s="120">
        <f t="shared" si="174"/>
        <v>0</v>
      </c>
      <c r="AI297" s="120">
        <f t="shared" si="174"/>
        <v>0</v>
      </c>
      <c r="AJ297" s="120">
        <f t="shared" si="174"/>
        <v>0</v>
      </c>
      <c r="AK297" s="120">
        <f t="shared" si="174"/>
        <v>1</v>
      </c>
      <c r="AL297" s="120">
        <f t="shared" si="174"/>
        <v>1</v>
      </c>
      <c r="AM297" s="120">
        <f t="shared" si="174"/>
        <v>1</v>
      </c>
      <c r="AN297" s="120">
        <f t="shared" si="174"/>
        <v>1</v>
      </c>
      <c r="AO297" s="120">
        <f t="shared" si="174"/>
        <v>1</v>
      </c>
      <c r="AP297" s="120">
        <f t="shared" si="174"/>
        <v>1</v>
      </c>
      <c r="AQ297" s="120">
        <f t="shared" si="173"/>
        <v>1</v>
      </c>
      <c r="AR297" s="120">
        <f t="shared" si="173"/>
        <v>1</v>
      </c>
      <c r="AS297" s="120">
        <f t="shared" si="173"/>
        <v>0</v>
      </c>
      <c r="AT297" s="120">
        <f t="shared" si="173"/>
        <v>0</v>
      </c>
      <c r="AU297" s="120">
        <f t="shared" si="173"/>
        <v>1</v>
      </c>
      <c r="AV297" s="120">
        <f t="shared" si="173"/>
        <v>0</v>
      </c>
      <c r="AW297" s="120">
        <f t="shared" si="173"/>
        <v>0</v>
      </c>
      <c r="AX297" s="120">
        <f t="shared" si="173"/>
        <v>0</v>
      </c>
      <c r="AY297" s="120">
        <f t="shared" si="165"/>
        <v>11</v>
      </c>
      <c r="AZ297" s="20" t="s">
        <v>140</v>
      </c>
    </row>
    <row r="298" spans="1:52">
      <c r="A298" s="120" t="s">
        <v>174</v>
      </c>
      <c r="B298" s="120">
        <f t="shared" si="172"/>
        <v>0</v>
      </c>
      <c r="C298" s="120">
        <f t="shared" si="172"/>
        <v>0</v>
      </c>
      <c r="D298" s="120">
        <f t="shared" si="172"/>
        <v>0</v>
      </c>
      <c r="E298" s="120">
        <f t="shared" si="172"/>
        <v>1</v>
      </c>
      <c r="F298" s="120">
        <f t="shared" si="172"/>
        <v>0</v>
      </c>
      <c r="G298" s="120">
        <f t="shared" si="172"/>
        <v>0</v>
      </c>
      <c r="H298" s="120">
        <f t="shared" si="172"/>
        <v>0</v>
      </c>
      <c r="I298" s="120">
        <f t="shared" si="172"/>
        <v>0</v>
      </c>
      <c r="J298" s="120">
        <f t="shared" si="172"/>
        <v>0</v>
      </c>
      <c r="K298" s="120">
        <f t="shared" si="172"/>
        <v>0</v>
      </c>
      <c r="L298" s="120">
        <f t="shared" si="172"/>
        <v>1</v>
      </c>
      <c r="M298" s="120">
        <f t="shared" si="172"/>
        <v>1</v>
      </c>
      <c r="N298" s="120">
        <f t="shared" si="172"/>
        <v>1</v>
      </c>
      <c r="O298" s="120">
        <f t="shared" si="172"/>
        <v>1</v>
      </c>
      <c r="P298" s="120">
        <f t="shared" si="172"/>
        <v>1</v>
      </c>
      <c r="Q298" s="120">
        <f t="shared" si="172"/>
        <v>1</v>
      </c>
      <c r="R298" s="120">
        <f t="shared" si="172"/>
        <v>1</v>
      </c>
      <c r="S298" s="120">
        <f t="shared" si="172"/>
        <v>0</v>
      </c>
      <c r="T298" s="120">
        <f t="shared" si="172"/>
        <v>0</v>
      </c>
      <c r="U298" s="120">
        <f t="shared" si="172"/>
        <v>0</v>
      </c>
      <c r="V298" s="120">
        <f t="shared" si="172"/>
        <v>0</v>
      </c>
      <c r="W298" s="120">
        <f t="shared" si="172"/>
        <v>0</v>
      </c>
      <c r="X298" s="120">
        <f t="shared" si="172"/>
        <v>1</v>
      </c>
      <c r="Y298" s="120">
        <f t="shared" si="172"/>
        <v>0</v>
      </c>
      <c r="AA298" s="120">
        <f t="shared" si="174"/>
        <v>0</v>
      </c>
      <c r="AB298" s="120">
        <f t="shared" si="174"/>
        <v>0</v>
      </c>
      <c r="AC298" s="120">
        <f t="shared" si="174"/>
        <v>0</v>
      </c>
      <c r="AD298" s="120">
        <f t="shared" si="174"/>
        <v>1</v>
      </c>
      <c r="AE298" s="120">
        <f t="shared" si="174"/>
        <v>0</v>
      </c>
      <c r="AF298" s="120">
        <f t="shared" si="174"/>
        <v>0</v>
      </c>
      <c r="AG298" s="120">
        <f t="shared" si="174"/>
        <v>0</v>
      </c>
      <c r="AH298" s="120">
        <f t="shared" si="174"/>
        <v>0</v>
      </c>
      <c r="AI298" s="120">
        <f t="shared" si="174"/>
        <v>0</v>
      </c>
      <c r="AJ298" s="120">
        <f t="shared" si="174"/>
        <v>0</v>
      </c>
      <c r="AK298" s="120">
        <f t="shared" si="174"/>
        <v>1</v>
      </c>
      <c r="AL298" s="120">
        <f t="shared" si="174"/>
        <v>1</v>
      </c>
      <c r="AM298" s="120">
        <f t="shared" si="174"/>
        <v>1</v>
      </c>
      <c r="AN298" s="120">
        <f t="shared" si="174"/>
        <v>1</v>
      </c>
      <c r="AO298" s="120">
        <f t="shared" si="174"/>
        <v>1</v>
      </c>
      <c r="AP298" s="120">
        <f t="shared" si="174"/>
        <v>1</v>
      </c>
      <c r="AQ298" s="120">
        <f t="shared" si="173"/>
        <v>1</v>
      </c>
      <c r="AR298" s="120">
        <f t="shared" si="173"/>
        <v>0</v>
      </c>
      <c r="AS298" s="120">
        <f t="shared" si="173"/>
        <v>0</v>
      </c>
      <c r="AT298" s="120">
        <f t="shared" si="173"/>
        <v>0</v>
      </c>
      <c r="AU298" s="120">
        <f t="shared" si="173"/>
        <v>0</v>
      </c>
      <c r="AV298" s="120">
        <f t="shared" si="173"/>
        <v>0</v>
      </c>
      <c r="AW298" s="120">
        <f t="shared" si="173"/>
        <v>1</v>
      </c>
      <c r="AX298" s="120">
        <f t="shared" si="173"/>
        <v>0</v>
      </c>
      <c r="AY298" s="120">
        <f t="shared" si="165"/>
        <v>9</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1</v>
      </c>
      <c r="D302" s="120">
        <f t="shared" si="175"/>
        <v>0</v>
      </c>
      <c r="E302" s="120">
        <f t="shared" ref="E302:Y302" si="176">IF(IFERROR(FIND($A$301,E5,1),0)=0,0,1)</f>
        <v>0</v>
      </c>
      <c r="F302" s="120">
        <f t="shared" si="176"/>
        <v>1</v>
      </c>
      <c r="G302" s="120">
        <f t="shared" si="176"/>
        <v>0</v>
      </c>
      <c r="H302" s="120">
        <f t="shared" si="176"/>
        <v>1</v>
      </c>
      <c r="I302" s="120">
        <f t="shared" si="176"/>
        <v>1</v>
      </c>
      <c r="J302" s="120">
        <f t="shared" si="176"/>
        <v>1</v>
      </c>
      <c r="K302" s="120">
        <f t="shared" si="176"/>
        <v>1</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0.5</v>
      </c>
      <c r="AC302" s="120">
        <f t="shared" si="177"/>
        <v>0</v>
      </c>
      <c r="AD302" s="120">
        <f t="shared" si="177"/>
        <v>0</v>
      </c>
      <c r="AE302" s="120">
        <f t="shared" si="177"/>
        <v>1</v>
      </c>
      <c r="AF302" s="120">
        <f t="shared" si="177"/>
        <v>0</v>
      </c>
      <c r="AG302" s="120">
        <f t="shared" si="177"/>
        <v>1</v>
      </c>
      <c r="AH302" s="120">
        <f t="shared" si="177"/>
        <v>1</v>
      </c>
      <c r="AI302" s="120">
        <f t="shared" si="177"/>
        <v>1</v>
      </c>
      <c r="AJ302" s="120">
        <f t="shared" si="177"/>
        <v>1</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5.5</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1</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1</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1</v>
      </c>
      <c r="AZ303" s="20" t="s">
        <v>141</v>
      </c>
    </row>
    <row r="304" spans="1:52">
      <c r="A304" s="120" t="s">
        <v>147</v>
      </c>
      <c r="B304" s="120">
        <f t="shared" si="179"/>
        <v>1</v>
      </c>
      <c r="C304" s="120">
        <f t="shared" si="179"/>
        <v>0</v>
      </c>
      <c r="D304" s="120">
        <f t="shared" si="179"/>
        <v>1</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1</v>
      </c>
      <c r="AB304" s="120">
        <f t="shared" si="177"/>
        <v>0</v>
      </c>
      <c r="AC304" s="120">
        <f t="shared" si="177"/>
        <v>1</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2</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1</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1</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1</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1</v>
      </c>
      <c r="AV305" s="120">
        <f t="shared" si="177"/>
        <v>0</v>
      </c>
      <c r="AW305" s="120">
        <f t="shared" si="177"/>
        <v>0</v>
      </c>
      <c r="AX305" s="120">
        <f t="shared" si="177"/>
        <v>0</v>
      </c>
      <c r="AY305" s="120">
        <f t="shared" si="178"/>
        <v>2</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1</v>
      </c>
      <c r="V307" s="120">
        <f t="shared" si="179"/>
        <v>0</v>
      </c>
      <c r="W307" s="120">
        <f t="shared" si="179"/>
        <v>1</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1</v>
      </c>
      <c r="AU307" s="120">
        <f t="shared" si="177"/>
        <v>0</v>
      </c>
      <c r="AV307" s="120">
        <f t="shared" si="177"/>
        <v>1</v>
      </c>
      <c r="AW307" s="120">
        <f t="shared" si="177"/>
        <v>0</v>
      </c>
      <c r="AX307" s="120">
        <f t="shared" si="177"/>
        <v>0</v>
      </c>
      <c r="AY307" s="120">
        <f t="shared" si="178"/>
        <v>2</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1</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1</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1</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1</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1</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1</v>
      </c>
      <c r="AZ309" s="20" t="s">
        <v>141</v>
      </c>
    </row>
    <row r="310" spans="1:52">
      <c r="A310" s="120" t="s">
        <v>153</v>
      </c>
      <c r="B310" s="120">
        <f t="shared" si="179"/>
        <v>0</v>
      </c>
      <c r="C310" s="120">
        <f t="shared" si="179"/>
        <v>0</v>
      </c>
      <c r="D310" s="120">
        <f t="shared" si="179"/>
        <v>1</v>
      </c>
      <c r="E310" s="120">
        <f t="shared" si="179"/>
        <v>1</v>
      </c>
      <c r="F310" s="120">
        <f t="shared" si="179"/>
        <v>0</v>
      </c>
      <c r="G310" s="120">
        <f t="shared" si="179"/>
        <v>0</v>
      </c>
      <c r="H310" s="120">
        <f t="shared" si="179"/>
        <v>0</v>
      </c>
      <c r="I310" s="120">
        <f t="shared" si="179"/>
        <v>0</v>
      </c>
      <c r="J310" s="120">
        <f t="shared" si="179"/>
        <v>0</v>
      </c>
      <c r="K310" s="120">
        <f t="shared" si="179"/>
        <v>1</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1</v>
      </c>
      <c r="Y310" s="120">
        <f t="shared" si="179"/>
        <v>1</v>
      </c>
      <c r="AA310" s="120">
        <f t="shared" si="177"/>
        <v>0</v>
      </c>
      <c r="AB310" s="120">
        <f t="shared" si="177"/>
        <v>0</v>
      </c>
      <c r="AC310" s="120">
        <f t="shared" si="177"/>
        <v>1</v>
      </c>
      <c r="AD310" s="120">
        <f t="shared" si="177"/>
        <v>1</v>
      </c>
      <c r="AE310" s="120">
        <f t="shared" si="177"/>
        <v>0</v>
      </c>
      <c r="AF310" s="120">
        <f t="shared" si="177"/>
        <v>0</v>
      </c>
      <c r="AG310" s="120">
        <f t="shared" si="177"/>
        <v>0</v>
      </c>
      <c r="AH310" s="120">
        <f t="shared" si="177"/>
        <v>0</v>
      </c>
      <c r="AI310" s="120">
        <f t="shared" si="177"/>
        <v>0</v>
      </c>
      <c r="AJ310" s="120">
        <f t="shared" si="177"/>
        <v>1</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1</v>
      </c>
      <c r="AX310" s="120">
        <f t="shared" si="177"/>
        <v>1</v>
      </c>
      <c r="AY310" s="120">
        <f t="shared" si="178"/>
        <v>5</v>
      </c>
      <c r="AZ310" s="20" t="s">
        <v>141</v>
      </c>
    </row>
    <row r="311" spans="1:52">
      <c r="A311" s="120" t="s">
        <v>154</v>
      </c>
      <c r="B311" s="120">
        <f t="shared" si="179"/>
        <v>1</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1</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1</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1</v>
      </c>
      <c r="J313" s="120">
        <f t="shared" si="179"/>
        <v>1</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1</v>
      </c>
      <c r="AI313" s="120">
        <f t="shared" si="182"/>
        <v>1</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2</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1</v>
      </c>
      <c r="I319" s="120">
        <f t="shared" si="183"/>
        <v>1</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1</v>
      </c>
      <c r="AA319" s="120">
        <f t="shared" si="182"/>
        <v>0</v>
      </c>
      <c r="AB319" s="120">
        <f t="shared" si="182"/>
        <v>0</v>
      </c>
      <c r="AC319" s="120">
        <f t="shared" si="182"/>
        <v>0</v>
      </c>
      <c r="AD319" s="120">
        <f t="shared" si="182"/>
        <v>0</v>
      </c>
      <c r="AE319" s="120">
        <f t="shared" si="182"/>
        <v>0</v>
      </c>
      <c r="AF319" s="120">
        <f t="shared" si="182"/>
        <v>0</v>
      </c>
      <c r="AG319" s="120">
        <f t="shared" si="182"/>
        <v>1</v>
      </c>
      <c r="AH319" s="120">
        <f t="shared" si="182"/>
        <v>1</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1</v>
      </c>
      <c r="AY319" s="120">
        <f t="shared" si="178"/>
        <v>3</v>
      </c>
      <c r="AZ319" s="20" t="s">
        <v>141</v>
      </c>
    </row>
    <row r="320" spans="1:52">
      <c r="A320" s="120" t="s">
        <v>163</v>
      </c>
      <c r="B320" s="120">
        <f t="shared" si="183"/>
        <v>1</v>
      </c>
      <c r="C320" s="120">
        <f t="shared" si="183"/>
        <v>0</v>
      </c>
      <c r="D320" s="120">
        <f t="shared" si="183"/>
        <v>0</v>
      </c>
      <c r="E320" s="120">
        <f t="shared" si="183"/>
        <v>0</v>
      </c>
      <c r="F320" s="120">
        <f t="shared" si="183"/>
        <v>1</v>
      </c>
      <c r="G320" s="120">
        <f t="shared" si="183"/>
        <v>0</v>
      </c>
      <c r="H320" s="120">
        <f t="shared" si="183"/>
        <v>0</v>
      </c>
      <c r="I320" s="120">
        <f t="shared" si="183"/>
        <v>1</v>
      </c>
      <c r="J320" s="120">
        <f t="shared" si="183"/>
        <v>1</v>
      </c>
      <c r="K320" s="120">
        <f t="shared" si="183"/>
        <v>1</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1</v>
      </c>
      <c r="AB320" s="120">
        <f t="shared" si="182"/>
        <v>0</v>
      </c>
      <c r="AC320" s="120">
        <f t="shared" si="182"/>
        <v>0</v>
      </c>
      <c r="AD320" s="120">
        <f t="shared" si="182"/>
        <v>0</v>
      </c>
      <c r="AE320" s="120">
        <f t="shared" si="182"/>
        <v>1</v>
      </c>
      <c r="AF320" s="120">
        <f t="shared" si="182"/>
        <v>0</v>
      </c>
      <c r="AG320" s="120">
        <f t="shared" si="182"/>
        <v>0</v>
      </c>
      <c r="AH320" s="120">
        <f t="shared" si="182"/>
        <v>1</v>
      </c>
      <c r="AI320" s="120">
        <f t="shared" si="182"/>
        <v>1</v>
      </c>
      <c r="AJ320" s="120">
        <f t="shared" si="182"/>
        <v>1</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5</v>
      </c>
      <c r="AZ320" s="20" t="s">
        <v>141</v>
      </c>
    </row>
    <row r="321" spans="1:52">
      <c r="A321" s="120" t="s">
        <v>164</v>
      </c>
      <c r="B321" s="120">
        <f t="shared" si="183"/>
        <v>1</v>
      </c>
      <c r="C321" s="120">
        <f t="shared" si="183"/>
        <v>0</v>
      </c>
      <c r="D321" s="120">
        <f t="shared" si="183"/>
        <v>0</v>
      </c>
      <c r="E321" s="120">
        <f t="shared" si="183"/>
        <v>0</v>
      </c>
      <c r="F321" s="120">
        <f t="shared" si="183"/>
        <v>1</v>
      </c>
      <c r="G321" s="120">
        <f t="shared" si="183"/>
        <v>0</v>
      </c>
      <c r="H321" s="120">
        <f t="shared" si="183"/>
        <v>0</v>
      </c>
      <c r="I321" s="120">
        <f t="shared" si="183"/>
        <v>0</v>
      </c>
      <c r="J321" s="120">
        <f t="shared" si="183"/>
        <v>0</v>
      </c>
      <c r="K321" s="120">
        <f t="shared" si="183"/>
        <v>1</v>
      </c>
      <c r="L321" s="120">
        <f t="shared" si="183"/>
        <v>0</v>
      </c>
      <c r="M321" s="120">
        <f t="shared" si="183"/>
        <v>1</v>
      </c>
      <c r="N321" s="120">
        <f t="shared" si="183"/>
        <v>0</v>
      </c>
      <c r="O321" s="120">
        <f t="shared" si="183"/>
        <v>0</v>
      </c>
      <c r="P321" s="120">
        <f t="shared" si="183"/>
        <v>0</v>
      </c>
      <c r="Q321" s="120">
        <f t="shared" si="183"/>
        <v>1</v>
      </c>
      <c r="R321" s="120">
        <f t="shared" si="183"/>
        <v>0</v>
      </c>
      <c r="S321" s="120">
        <f t="shared" si="183"/>
        <v>0</v>
      </c>
      <c r="T321" s="120">
        <f t="shared" si="183"/>
        <v>1</v>
      </c>
      <c r="U321" s="120">
        <f t="shared" si="183"/>
        <v>1</v>
      </c>
      <c r="V321" s="120">
        <f t="shared" si="183"/>
        <v>0</v>
      </c>
      <c r="W321" s="120">
        <f t="shared" si="183"/>
        <v>0</v>
      </c>
      <c r="X321" s="120">
        <f t="shared" si="183"/>
        <v>0</v>
      </c>
      <c r="Y321" s="120">
        <f t="shared" si="183"/>
        <v>1</v>
      </c>
      <c r="AA321" s="120">
        <f t="shared" si="182"/>
        <v>1</v>
      </c>
      <c r="AB321" s="120">
        <f t="shared" si="182"/>
        <v>0</v>
      </c>
      <c r="AC321" s="120">
        <f t="shared" si="182"/>
        <v>0</v>
      </c>
      <c r="AD321" s="120">
        <f t="shared" si="182"/>
        <v>0</v>
      </c>
      <c r="AE321" s="120">
        <f t="shared" si="182"/>
        <v>1</v>
      </c>
      <c r="AF321" s="120">
        <f t="shared" si="182"/>
        <v>0</v>
      </c>
      <c r="AG321" s="120">
        <f t="shared" si="182"/>
        <v>0</v>
      </c>
      <c r="AH321" s="120">
        <f t="shared" si="182"/>
        <v>0</v>
      </c>
      <c r="AI321" s="120">
        <f t="shared" si="182"/>
        <v>0</v>
      </c>
      <c r="AJ321" s="120">
        <f t="shared" si="182"/>
        <v>1</v>
      </c>
      <c r="AK321" s="120">
        <f t="shared" si="182"/>
        <v>0</v>
      </c>
      <c r="AL321" s="120">
        <f t="shared" si="182"/>
        <v>1</v>
      </c>
      <c r="AM321" s="120">
        <f t="shared" si="182"/>
        <v>0</v>
      </c>
      <c r="AN321" s="120">
        <f t="shared" si="182"/>
        <v>0</v>
      </c>
      <c r="AO321" s="120">
        <f t="shared" si="182"/>
        <v>0</v>
      </c>
      <c r="AP321" s="120">
        <f t="shared" si="180"/>
        <v>1</v>
      </c>
      <c r="AQ321" s="120">
        <f t="shared" si="180"/>
        <v>0</v>
      </c>
      <c r="AR321" s="120">
        <f t="shared" si="180"/>
        <v>0</v>
      </c>
      <c r="AS321" s="120">
        <f t="shared" si="180"/>
        <v>1</v>
      </c>
      <c r="AT321" s="120">
        <f t="shared" si="180"/>
        <v>1</v>
      </c>
      <c r="AU321" s="120">
        <f t="shared" si="180"/>
        <v>0</v>
      </c>
      <c r="AV321" s="120">
        <f t="shared" si="180"/>
        <v>0</v>
      </c>
      <c r="AW321" s="120">
        <f t="shared" si="180"/>
        <v>0</v>
      </c>
      <c r="AX321" s="120">
        <f t="shared" si="180"/>
        <v>1</v>
      </c>
      <c r="AY321" s="120">
        <f t="shared" si="178"/>
        <v>8</v>
      </c>
      <c r="AZ321" s="20" t="s">
        <v>141</v>
      </c>
    </row>
    <row r="322" spans="1:52">
      <c r="A322" s="120" t="s">
        <v>165</v>
      </c>
      <c r="B322" s="120">
        <f t="shared" si="183"/>
        <v>0</v>
      </c>
      <c r="C322" s="120">
        <f t="shared" si="183"/>
        <v>0</v>
      </c>
      <c r="D322" s="120">
        <f t="shared" si="183"/>
        <v>0</v>
      </c>
      <c r="E322" s="120">
        <f t="shared" si="183"/>
        <v>0</v>
      </c>
      <c r="F322" s="120">
        <f t="shared" si="183"/>
        <v>1</v>
      </c>
      <c r="G322" s="120">
        <f t="shared" si="183"/>
        <v>0</v>
      </c>
      <c r="H322" s="120">
        <f t="shared" si="183"/>
        <v>0</v>
      </c>
      <c r="I322" s="120">
        <f t="shared" si="183"/>
        <v>0</v>
      </c>
      <c r="J322" s="120">
        <f t="shared" si="183"/>
        <v>1</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1</v>
      </c>
      <c r="Y322" s="120">
        <f t="shared" si="183"/>
        <v>0</v>
      </c>
      <c r="AA322" s="120">
        <f t="shared" si="182"/>
        <v>0</v>
      </c>
      <c r="AB322" s="120">
        <f t="shared" si="182"/>
        <v>0</v>
      </c>
      <c r="AC322" s="120">
        <f t="shared" si="182"/>
        <v>0</v>
      </c>
      <c r="AD322" s="120">
        <f t="shared" si="182"/>
        <v>0</v>
      </c>
      <c r="AE322" s="120">
        <f t="shared" si="182"/>
        <v>1</v>
      </c>
      <c r="AF322" s="120">
        <f t="shared" si="182"/>
        <v>0</v>
      </c>
      <c r="AG322" s="120">
        <f t="shared" si="182"/>
        <v>0</v>
      </c>
      <c r="AH322" s="120">
        <f t="shared" si="182"/>
        <v>0</v>
      </c>
      <c r="AI322" s="120">
        <f t="shared" si="182"/>
        <v>1</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1</v>
      </c>
      <c r="AX322" s="120">
        <f t="shared" si="180"/>
        <v>0</v>
      </c>
      <c r="AY322" s="120">
        <f t="shared" si="178"/>
        <v>3</v>
      </c>
      <c r="AZ322" s="20" t="s">
        <v>141</v>
      </c>
    </row>
    <row r="323" spans="1:52">
      <c r="A323" s="120" t="s">
        <v>166</v>
      </c>
      <c r="B323" s="120">
        <f t="shared" si="183"/>
        <v>1</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1</v>
      </c>
      <c r="AA323" s="120">
        <f t="shared" si="182"/>
        <v>1</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1</v>
      </c>
      <c r="AY323" s="120">
        <f t="shared" si="178"/>
        <v>2</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1</v>
      </c>
      <c r="J324" s="120">
        <f t="shared" si="183"/>
        <v>0</v>
      </c>
      <c r="K324" s="120">
        <f t="shared" si="183"/>
        <v>1</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1</v>
      </c>
      <c r="AI324" s="120">
        <f t="shared" si="182"/>
        <v>0</v>
      </c>
      <c r="AJ324" s="120">
        <f t="shared" si="182"/>
        <v>1</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2</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1</v>
      </c>
      <c r="V331" s="120">
        <f t="shared" si="185"/>
        <v>1</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1</v>
      </c>
      <c r="AU331" s="120">
        <f t="shared" si="186"/>
        <v>1</v>
      </c>
      <c r="AV331" s="120">
        <f t="shared" si="186"/>
        <v>0</v>
      </c>
      <c r="AW331" s="120">
        <f t="shared" si="186"/>
        <v>0</v>
      </c>
      <c r="AX331" s="120">
        <f t="shared" si="186"/>
        <v>0</v>
      </c>
      <c r="AY331" s="120">
        <f t="shared" si="178"/>
        <v>2</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19">
        <f>IF(B369=0,0,B369/AA5)</f>
        <v>0</v>
      </c>
      <c r="AB369" s="219">
        <f t="shared" ref="AB369:AX380" si="202">IF(C369=0,0,C369/AB5)</f>
        <v>0</v>
      </c>
      <c r="AC369" s="219">
        <f t="shared" si="202"/>
        <v>0</v>
      </c>
      <c r="AD369" s="219">
        <f t="shared" si="202"/>
        <v>0</v>
      </c>
      <c r="AE369" s="219">
        <f t="shared" si="202"/>
        <v>0</v>
      </c>
      <c r="AF369" s="219">
        <f t="shared" si="202"/>
        <v>0</v>
      </c>
      <c r="AG369" s="219">
        <f t="shared" si="202"/>
        <v>0</v>
      </c>
      <c r="AH369" s="219">
        <f t="shared" si="202"/>
        <v>0</v>
      </c>
      <c r="AI369" s="219">
        <f t="shared" si="202"/>
        <v>0</v>
      </c>
      <c r="AJ369" s="219">
        <f t="shared" si="202"/>
        <v>0</v>
      </c>
      <c r="AK369" s="219">
        <f t="shared" si="202"/>
        <v>0</v>
      </c>
      <c r="AL369" s="219">
        <f t="shared" si="202"/>
        <v>0</v>
      </c>
      <c r="AM369" s="219">
        <f t="shared" si="202"/>
        <v>0</v>
      </c>
      <c r="AN369" s="219">
        <f t="shared" si="202"/>
        <v>0</v>
      </c>
      <c r="AO369" s="219">
        <f t="shared" si="202"/>
        <v>0</v>
      </c>
      <c r="AP369" s="219">
        <f t="shared" si="202"/>
        <v>0</v>
      </c>
      <c r="AQ369" s="219">
        <f t="shared" si="202"/>
        <v>0</v>
      </c>
      <c r="AR369" s="219">
        <f t="shared" si="202"/>
        <v>0</v>
      </c>
      <c r="AS369" s="219">
        <f t="shared" si="202"/>
        <v>0</v>
      </c>
      <c r="AT369" s="219">
        <f t="shared" si="202"/>
        <v>0</v>
      </c>
      <c r="AU369" s="219">
        <f t="shared" si="202"/>
        <v>0</v>
      </c>
      <c r="AV369" s="219">
        <f t="shared" si="202"/>
        <v>0</v>
      </c>
      <c r="AW369" s="219">
        <f t="shared" si="202"/>
        <v>0</v>
      </c>
      <c r="AX369" s="219">
        <f t="shared" si="202"/>
        <v>0</v>
      </c>
      <c r="AY369" s="120">
        <f t="shared" ref="AY369:AY399" si="203">SUM(AA369:AX369)</f>
        <v>0</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9">
        <f t="shared" ref="AA370:AC385" si="205">IF(B370=0,0,B370/AA6)</f>
        <v>0</v>
      </c>
      <c r="AB370" s="219">
        <f t="shared" si="202"/>
        <v>0</v>
      </c>
      <c r="AC370" s="219">
        <f t="shared" si="202"/>
        <v>0</v>
      </c>
      <c r="AD370" s="219">
        <f t="shared" si="202"/>
        <v>0</v>
      </c>
      <c r="AE370" s="219">
        <f t="shared" si="202"/>
        <v>0</v>
      </c>
      <c r="AF370" s="219">
        <f t="shared" si="202"/>
        <v>0</v>
      </c>
      <c r="AG370" s="219">
        <f t="shared" si="202"/>
        <v>0</v>
      </c>
      <c r="AH370" s="219">
        <f t="shared" si="202"/>
        <v>0</v>
      </c>
      <c r="AI370" s="219">
        <f t="shared" si="202"/>
        <v>0</v>
      </c>
      <c r="AJ370" s="219">
        <f t="shared" si="202"/>
        <v>0</v>
      </c>
      <c r="AK370" s="219">
        <f t="shared" si="202"/>
        <v>0</v>
      </c>
      <c r="AL370" s="219">
        <f t="shared" si="202"/>
        <v>0</v>
      </c>
      <c r="AM370" s="219">
        <f t="shared" si="202"/>
        <v>0</v>
      </c>
      <c r="AN370" s="219">
        <f t="shared" si="202"/>
        <v>0</v>
      </c>
      <c r="AO370" s="219">
        <f t="shared" si="202"/>
        <v>0</v>
      </c>
      <c r="AP370" s="219">
        <f t="shared" si="202"/>
        <v>0</v>
      </c>
      <c r="AQ370" s="219">
        <f t="shared" si="202"/>
        <v>0</v>
      </c>
      <c r="AR370" s="219">
        <f t="shared" si="202"/>
        <v>0</v>
      </c>
      <c r="AS370" s="219">
        <f t="shared" si="202"/>
        <v>0</v>
      </c>
      <c r="AT370" s="219">
        <f t="shared" si="202"/>
        <v>0</v>
      </c>
      <c r="AU370" s="219">
        <f t="shared" si="202"/>
        <v>0</v>
      </c>
      <c r="AV370" s="219">
        <f t="shared" si="202"/>
        <v>0</v>
      </c>
      <c r="AW370" s="219">
        <f t="shared" si="202"/>
        <v>0</v>
      </c>
      <c r="AX370" s="219">
        <f t="shared" si="202"/>
        <v>0</v>
      </c>
      <c r="AY370" s="120">
        <f t="shared" si="203"/>
        <v>0</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19">
        <f t="shared" si="205"/>
        <v>0</v>
      </c>
      <c r="AB371" s="219">
        <f t="shared" si="202"/>
        <v>0</v>
      </c>
      <c r="AC371" s="219">
        <f t="shared" si="202"/>
        <v>0</v>
      </c>
      <c r="AD371" s="219">
        <f t="shared" si="202"/>
        <v>0</v>
      </c>
      <c r="AE371" s="219">
        <f t="shared" si="202"/>
        <v>0</v>
      </c>
      <c r="AF371" s="219">
        <f t="shared" si="202"/>
        <v>0</v>
      </c>
      <c r="AG371" s="219">
        <f t="shared" si="202"/>
        <v>0</v>
      </c>
      <c r="AH371" s="219">
        <f t="shared" si="202"/>
        <v>0</v>
      </c>
      <c r="AI371" s="219">
        <f t="shared" si="202"/>
        <v>0</v>
      </c>
      <c r="AJ371" s="219">
        <f t="shared" si="202"/>
        <v>0</v>
      </c>
      <c r="AK371" s="219">
        <f t="shared" si="202"/>
        <v>0</v>
      </c>
      <c r="AL371" s="219">
        <f t="shared" si="202"/>
        <v>0</v>
      </c>
      <c r="AM371" s="219">
        <f t="shared" si="202"/>
        <v>0</v>
      </c>
      <c r="AN371" s="219">
        <f t="shared" si="202"/>
        <v>0</v>
      </c>
      <c r="AO371" s="219">
        <f t="shared" si="202"/>
        <v>0</v>
      </c>
      <c r="AP371" s="219">
        <f t="shared" si="202"/>
        <v>0</v>
      </c>
      <c r="AQ371" s="219">
        <f t="shared" si="202"/>
        <v>0</v>
      </c>
      <c r="AR371" s="219">
        <f t="shared" si="202"/>
        <v>0</v>
      </c>
      <c r="AS371" s="219">
        <f t="shared" si="202"/>
        <v>0</v>
      </c>
      <c r="AT371" s="219">
        <f t="shared" si="202"/>
        <v>0</v>
      </c>
      <c r="AU371" s="219">
        <f t="shared" si="202"/>
        <v>0</v>
      </c>
      <c r="AV371" s="219">
        <f t="shared" si="202"/>
        <v>0</v>
      </c>
      <c r="AW371" s="219">
        <f t="shared" si="202"/>
        <v>0</v>
      </c>
      <c r="AX371" s="219">
        <f t="shared" si="202"/>
        <v>0</v>
      </c>
      <c r="AY371" s="120">
        <f t="shared" si="203"/>
        <v>0</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19">
        <f t="shared" si="205"/>
        <v>0</v>
      </c>
      <c r="AB372" s="219">
        <f t="shared" si="202"/>
        <v>0</v>
      </c>
      <c r="AC372" s="219">
        <f t="shared" si="202"/>
        <v>0</v>
      </c>
      <c r="AD372" s="219">
        <f t="shared" si="202"/>
        <v>0</v>
      </c>
      <c r="AE372" s="219">
        <f t="shared" si="202"/>
        <v>0</v>
      </c>
      <c r="AF372" s="219">
        <f t="shared" si="202"/>
        <v>0</v>
      </c>
      <c r="AG372" s="219">
        <f t="shared" si="202"/>
        <v>0</v>
      </c>
      <c r="AH372" s="219">
        <f t="shared" si="202"/>
        <v>0</v>
      </c>
      <c r="AI372" s="219">
        <f t="shared" si="202"/>
        <v>0</v>
      </c>
      <c r="AJ372" s="219">
        <f t="shared" si="202"/>
        <v>0</v>
      </c>
      <c r="AK372" s="219">
        <f t="shared" si="202"/>
        <v>0</v>
      </c>
      <c r="AL372" s="219">
        <f t="shared" si="202"/>
        <v>0</v>
      </c>
      <c r="AM372" s="219">
        <f t="shared" si="202"/>
        <v>0</v>
      </c>
      <c r="AN372" s="219">
        <f t="shared" si="202"/>
        <v>0</v>
      </c>
      <c r="AO372" s="219">
        <f t="shared" si="202"/>
        <v>0</v>
      </c>
      <c r="AP372" s="219">
        <f t="shared" si="202"/>
        <v>0</v>
      </c>
      <c r="AQ372" s="219">
        <f t="shared" si="202"/>
        <v>0</v>
      </c>
      <c r="AR372" s="219">
        <f t="shared" si="202"/>
        <v>0</v>
      </c>
      <c r="AS372" s="219">
        <f t="shared" si="202"/>
        <v>0</v>
      </c>
      <c r="AT372" s="219">
        <f t="shared" si="202"/>
        <v>0</v>
      </c>
      <c r="AU372" s="219">
        <f t="shared" si="202"/>
        <v>0</v>
      </c>
      <c r="AV372" s="219">
        <f t="shared" si="202"/>
        <v>0</v>
      </c>
      <c r="AW372" s="219">
        <f t="shared" si="202"/>
        <v>0</v>
      </c>
      <c r="AX372" s="219">
        <f t="shared" si="202"/>
        <v>0</v>
      </c>
      <c r="AY372" s="120">
        <f t="shared" si="203"/>
        <v>0</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19">
        <f t="shared" si="205"/>
        <v>0</v>
      </c>
      <c r="AB373" s="219">
        <f t="shared" si="202"/>
        <v>0</v>
      </c>
      <c r="AC373" s="219">
        <f t="shared" si="202"/>
        <v>0</v>
      </c>
      <c r="AD373" s="219">
        <f t="shared" si="202"/>
        <v>0</v>
      </c>
      <c r="AE373" s="219">
        <f t="shared" si="202"/>
        <v>0</v>
      </c>
      <c r="AF373" s="219">
        <f t="shared" si="202"/>
        <v>0</v>
      </c>
      <c r="AG373" s="219">
        <f t="shared" si="202"/>
        <v>0</v>
      </c>
      <c r="AH373" s="219">
        <f t="shared" si="202"/>
        <v>0</v>
      </c>
      <c r="AI373" s="219">
        <f t="shared" si="202"/>
        <v>0</v>
      </c>
      <c r="AJ373" s="219">
        <f t="shared" si="202"/>
        <v>0</v>
      </c>
      <c r="AK373" s="219">
        <f t="shared" si="202"/>
        <v>0</v>
      </c>
      <c r="AL373" s="219">
        <f t="shared" si="202"/>
        <v>0</v>
      </c>
      <c r="AM373" s="219">
        <f t="shared" si="202"/>
        <v>0</v>
      </c>
      <c r="AN373" s="219">
        <f t="shared" si="202"/>
        <v>0</v>
      </c>
      <c r="AO373" s="219">
        <f t="shared" si="202"/>
        <v>0</v>
      </c>
      <c r="AP373" s="219">
        <f t="shared" si="202"/>
        <v>0</v>
      </c>
      <c r="AQ373" s="219">
        <f t="shared" si="202"/>
        <v>0</v>
      </c>
      <c r="AR373" s="219">
        <f t="shared" si="202"/>
        <v>0</v>
      </c>
      <c r="AS373" s="219">
        <f t="shared" si="202"/>
        <v>0</v>
      </c>
      <c r="AT373" s="219">
        <f t="shared" si="202"/>
        <v>0</v>
      </c>
      <c r="AU373" s="219">
        <f t="shared" si="202"/>
        <v>0</v>
      </c>
      <c r="AV373" s="219">
        <f t="shared" si="202"/>
        <v>0</v>
      </c>
      <c r="AW373" s="219">
        <f t="shared" si="202"/>
        <v>0</v>
      </c>
      <c r="AX373" s="219">
        <f t="shared" si="202"/>
        <v>0</v>
      </c>
      <c r="AY373" s="120">
        <f t="shared" si="203"/>
        <v>0</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9">
        <f t="shared" si="205"/>
        <v>0</v>
      </c>
      <c r="AB374" s="219">
        <f t="shared" si="202"/>
        <v>0</v>
      </c>
      <c r="AC374" s="219">
        <f t="shared" si="202"/>
        <v>0</v>
      </c>
      <c r="AD374" s="219">
        <f t="shared" si="202"/>
        <v>0</v>
      </c>
      <c r="AE374" s="219">
        <f t="shared" si="202"/>
        <v>0</v>
      </c>
      <c r="AF374" s="219">
        <f t="shared" si="202"/>
        <v>0</v>
      </c>
      <c r="AG374" s="219">
        <f t="shared" si="202"/>
        <v>0</v>
      </c>
      <c r="AH374" s="219">
        <f t="shared" si="202"/>
        <v>0</v>
      </c>
      <c r="AI374" s="219">
        <f t="shared" si="202"/>
        <v>0</v>
      </c>
      <c r="AJ374" s="219">
        <f t="shared" si="202"/>
        <v>0</v>
      </c>
      <c r="AK374" s="219">
        <f t="shared" si="202"/>
        <v>0</v>
      </c>
      <c r="AL374" s="219">
        <f t="shared" si="202"/>
        <v>0</v>
      </c>
      <c r="AM374" s="219">
        <f t="shared" si="202"/>
        <v>0</v>
      </c>
      <c r="AN374" s="219">
        <f t="shared" si="202"/>
        <v>0</v>
      </c>
      <c r="AO374" s="219">
        <f t="shared" si="202"/>
        <v>0</v>
      </c>
      <c r="AP374" s="219">
        <f t="shared" si="202"/>
        <v>0</v>
      </c>
      <c r="AQ374" s="219">
        <f t="shared" si="202"/>
        <v>0</v>
      </c>
      <c r="AR374" s="219">
        <f t="shared" si="202"/>
        <v>0</v>
      </c>
      <c r="AS374" s="219">
        <f t="shared" si="202"/>
        <v>0</v>
      </c>
      <c r="AT374" s="219">
        <f t="shared" si="202"/>
        <v>0</v>
      </c>
      <c r="AU374" s="219">
        <f t="shared" si="202"/>
        <v>0</v>
      </c>
      <c r="AV374" s="219">
        <f t="shared" si="202"/>
        <v>0</v>
      </c>
      <c r="AW374" s="219">
        <f t="shared" si="202"/>
        <v>0</v>
      </c>
      <c r="AX374" s="219">
        <f t="shared" si="202"/>
        <v>0</v>
      </c>
      <c r="AY374" s="120">
        <f t="shared" si="203"/>
        <v>0</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9">
        <f t="shared" si="205"/>
        <v>0</v>
      </c>
      <c r="AB375" s="219">
        <f t="shared" si="202"/>
        <v>0</v>
      </c>
      <c r="AC375" s="219">
        <f t="shared" si="202"/>
        <v>0</v>
      </c>
      <c r="AD375" s="219">
        <f t="shared" si="202"/>
        <v>0</v>
      </c>
      <c r="AE375" s="219">
        <f t="shared" si="202"/>
        <v>0</v>
      </c>
      <c r="AF375" s="219">
        <f t="shared" si="202"/>
        <v>0</v>
      </c>
      <c r="AG375" s="219">
        <f t="shared" si="202"/>
        <v>0</v>
      </c>
      <c r="AH375" s="219">
        <f t="shared" si="202"/>
        <v>0</v>
      </c>
      <c r="AI375" s="219">
        <f t="shared" si="202"/>
        <v>0</v>
      </c>
      <c r="AJ375" s="219">
        <f t="shared" si="202"/>
        <v>0</v>
      </c>
      <c r="AK375" s="219">
        <f t="shared" si="202"/>
        <v>0</v>
      </c>
      <c r="AL375" s="219">
        <f t="shared" si="202"/>
        <v>0</v>
      </c>
      <c r="AM375" s="219">
        <f t="shared" si="202"/>
        <v>0</v>
      </c>
      <c r="AN375" s="219">
        <f t="shared" si="202"/>
        <v>0</v>
      </c>
      <c r="AO375" s="219">
        <f t="shared" si="202"/>
        <v>0</v>
      </c>
      <c r="AP375" s="219">
        <f t="shared" si="202"/>
        <v>0</v>
      </c>
      <c r="AQ375" s="219">
        <f t="shared" si="202"/>
        <v>0</v>
      </c>
      <c r="AR375" s="219">
        <f t="shared" si="202"/>
        <v>0</v>
      </c>
      <c r="AS375" s="219">
        <f t="shared" si="202"/>
        <v>0</v>
      </c>
      <c r="AT375" s="219">
        <f t="shared" si="202"/>
        <v>0</v>
      </c>
      <c r="AU375" s="219">
        <f t="shared" si="202"/>
        <v>0</v>
      </c>
      <c r="AV375" s="219">
        <f t="shared" si="202"/>
        <v>0</v>
      </c>
      <c r="AW375" s="219">
        <f t="shared" si="202"/>
        <v>0</v>
      </c>
      <c r="AX375" s="219">
        <f t="shared" si="202"/>
        <v>0</v>
      </c>
      <c r="AY375" s="120">
        <f t="shared" si="203"/>
        <v>0</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19">
        <f t="shared" si="205"/>
        <v>0</v>
      </c>
      <c r="AB376" s="219">
        <f t="shared" si="202"/>
        <v>0</v>
      </c>
      <c r="AC376" s="219">
        <f t="shared" si="202"/>
        <v>0</v>
      </c>
      <c r="AD376" s="219">
        <f t="shared" si="202"/>
        <v>0</v>
      </c>
      <c r="AE376" s="219">
        <f t="shared" si="202"/>
        <v>0</v>
      </c>
      <c r="AF376" s="219">
        <f t="shared" si="202"/>
        <v>0</v>
      </c>
      <c r="AG376" s="219">
        <f t="shared" si="202"/>
        <v>0</v>
      </c>
      <c r="AH376" s="219">
        <f t="shared" si="202"/>
        <v>0</v>
      </c>
      <c r="AI376" s="219">
        <f t="shared" si="202"/>
        <v>0</v>
      </c>
      <c r="AJ376" s="219">
        <f t="shared" si="202"/>
        <v>0</v>
      </c>
      <c r="AK376" s="219">
        <f t="shared" si="202"/>
        <v>0</v>
      </c>
      <c r="AL376" s="219">
        <f t="shared" si="202"/>
        <v>0</v>
      </c>
      <c r="AM376" s="219">
        <f t="shared" si="202"/>
        <v>0</v>
      </c>
      <c r="AN376" s="219">
        <f t="shared" si="202"/>
        <v>0</v>
      </c>
      <c r="AO376" s="219">
        <f t="shared" si="202"/>
        <v>0</v>
      </c>
      <c r="AP376" s="219">
        <f t="shared" si="202"/>
        <v>0</v>
      </c>
      <c r="AQ376" s="219">
        <f t="shared" si="202"/>
        <v>0</v>
      </c>
      <c r="AR376" s="219">
        <f t="shared" si="202"/>
        <v>0</v>
      </c>
      <c r="AS376" s="219">
        <f t="shared" si="202"/>
        <v>0</v>
      </c>
      <c r="AT376" s="219">
        <f t="shared" si="202"/>
        <v>0</v>
      </c>
      <c r="AU376" s="219">
        <f t="shared" si="202"/>
        <v>0</v>
      </c>
      <c r="AV376" s="219">
        <f t="shared" si="202"/>
        <v>0</v>
      </c>
      <c r="AW376" s="219">
        <f t="shared" si="202"/>
        <v>0</v>
      </c>
      <c r="AX376" s="219">
        <f t="shared" si="202"/>
        <v>0</v>
      </c>
      <c r="AY376" s="120">
        <f t="shared" si="203"/>
        <v>0</v>
      </c>
      <c r="AZ376" s="20" t="s">
        <v>246</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19">
        <f t="shared" si="205"/>
        <v>0</v>
      </c>
      <c r="AB377" s="219">
        <f t="shared" si="202"/>
        <v>0</v>
      </c>
      <c r="AC377" s="219">
        <f t="shared" si="202"/>
        <v>0</v>
      </c>
      <c r="AD377" s="219">
        <f t="shared" si="202"/>
        <v>0</v>
      </c>
      <c r="AE377" s="219">
        <f t="shared" si="202"/>
        <v>0</v>
      </c>
      <c r="AF377" s="219">
        <f t="shared" si="202"/>
        <v>0</v>
      </c>
      <c r="AG377" s="219">
        <f t="shared" si="202"/>
        <v>0</v>
      </c>
      <c r="AH377" s="219">
        <f t="shared" si="202"/>
        <v>0</v>
      </c>
      <c r="AI377" s="219">
        <f t="shared" si="202"/>
        <v>0</v>
      </c>
      <c r="AJ377" s="219">
        <f t="shared" si="202"/>
        <v>0</v>
      </c>
      <c r="AK377" s="219">
        <f t="shared" si="202"/>
        <v>0</v>
      </c>
      <c r="AL377" s="219">
        <f t="shared" si="202"/>
        <v>0</v>
      </c>
      <c r="AM377" s="219">
        <f t="shared" si="202"/>
        <v>0</v>
      </c>
      <c r="AN377" s="219">
        <f t="shared" si="202"/>
        <v>0</v>
      </c>
      <c r="AO377" s="219">
        <f t="shared" si="202"/>
        <v>0</v>
      </c>
      <c r="AP377" s="219">
        <f t="shared" si="202"/>
        <v>0</v>
      </c>
      <c r="AQ377" s="219">
        <f t="shared" si="202"/>
        <v>0</v>
      </c>
      <c r="AR377" s="219">
        <f t="shared" si="202"/>
        <v>0</v>
      </c>
      <c r="AS377" s="219">
        <f t="shared" si="202"/>
        <v>0</v>
      </c>
      <c r="AT377" s="219">
        <f t="shared" si="202"/>
        <v>0</v>
      </c>
      <c r="AU377" s="219">
        <f t="shared" si="202"/>
        <v>0</v>
      </c>
      <c r="AV377" s="219">
        <f t="shared" si="202"/>
        <v>0</v>
      </c>
      <c r="AW377" s="219">
        <f t="shared" si="202"/>
        <v>0</v>
      </c>
      <c r="AX377" s="219">
        <f t="shared" si="202"/>
        <v>0</v>
      </c>
      <c r="AY377" s="120">
        <f t="shared" si="203"/>
        <v>0</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19">
        <f t="shared" si="205"/>
        <v>0</v>
      </c>
      <c r="AB378" s="219">
        <f t="shared" si="202"/>
        <v>0</v>
      </c>
      <c r="AC378" s="219">
        <f t="shared" si="202"/>
        <v>0</v>
      </c>
      <c r="AD378" s="219">
        <f t="shared" si="202"/>
        <v>0</v>
      </c>
      <c r="AE378" s="219">
        <f t="shared" si="202"/>
        <v>0</v>
      </c>
      <c r="AF378" s="219">
        <f t="shared" si="202"/>
        <v>0</v>
      </c>
      <c r="AG378" s="219">
        <f t="shared" si="202"/>
        <v>0</v>
      </c>
      <c r="AH378" s="219">
        <f t="shared" si="202"/>
        <v>0</v>
      </c>
      <c r="AI378" s="219">
        <f t="shared" si="202"/>
        <v>0</v>
      </c>
      <c r="AJ378" s="219">
        <f t="shared" si="202"/>
        <v>0</v>
      </c>
      <c r="AK378" s="219">
        <f t="shared" si="202"/>
        <v>0</v>
      </c>
      <c r="AL378" s="219">
        <f t="shared" si="202"/>
        <v>0</v>
      </c>
      <c r="AM378" s="219">
        <f t="shared" si="202"/>
        <v>0</v>
      </c>
      <c r="AN378" s="219">
        <f t="shared" si="202"/>
        <v>0</v>
      </c>
      <c r="AO378" s="219">
        <f t="shared" si="202"/>
        <v>0</v>
      </c>
      <c r="AP378" s="219">
        <f t="shared" si="202"/>
        <v>0</v>
      </c>
      <c r="AQ378" s="219">
        <f t="shared" si="202"/>
        <v>0</v>
      </c>
      <c r="AR378" s="219">
        <f t="shared" si="202"/>
        <v>0</v>
      </c>
      <c r="AS378" s="219">
        <f t="shared" si="202"/>
        <v>0</v>
      </c>
      <c r="AT378" s="219">
        <f t="shared" si="202"/>
        <v>0</v>
      </c>
      <c r="AU378" s="219">
        <f t="shared" si="202"/>
        <v>0</v>
      </c>
      <c r="AV378" s="219">
        <f t="shared" si="202"/>
        <v>0</v>
      </c>
      <c r="AW378" s="219">
        <f t="shared" si="202"/>
        <v>0</v>
      </c>
      <c r="AX378" s="219">
        <f t="shared" si="202"/>
        <v>0</v>
      </c>
      <c r="AY378" s="120">
        <f t="shared" si="203"/>
        <v>0</v>
      </c>
      <c r="AZ378" s="20" t="s">
        <v>246</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19">
        <f t="shared" si="205"/>
        <v>0</v>
      </c>
      <c r="AB379" s="219">
        <f t="shared" si="202"/>
        <v>0</v>
      </c>
      <c r="AC379" s="219">
        <f t="shared" si="202"/>
        <v>0</v>
      </c>
      <c r="AD379" s="219">
        <f t="shared" si="202"/>
        <v>0</v>
      </c>
      <c r="AE379" s="219">
        <f t="shared" si="202"/>
        <v>0</v>
      </c>
      <c r="AF379" s="219">
        <f t="shared" si="202"/>
        <v>0</v>
      </c>
      <c r="AG379" s="219">
        <f t="shared" si="202"/>
        <v>0</v>
      </c>
      <c r="AH379" s="219">
        <f t="shared" si="202"/>
        <v>0</v>
      </c>
      <c r="AI379" s="219">
        <f t="shared" si="202"/>
        <v>0</v>
      </c>
      <c r="AJ379" s="219">
        <f t="shared" si="202"/>
        <v>0</v>
      </c>
      <c r="AK379" s="219">
        <f t="shared" si="202"/>
        <v>0</v>
      </c>
      <c r="AL379" s="219">
        <f t="shared" si="202"/>
        <v>0</v>
      </c>
      <c r="AM379" s="219">
        <f t="shared" si="202"/>
        <v>0</v>
      </c>
      <c r="AN379" s="219">
        <f t="shared" si="202"/>
        <v>0</v>
      </c>
      <c r="AO379" s="219">
        <f t="shared" si="202"/>
        <v>0</v>
      </c>
      <c r="AP379" s="219">
        <f t="shared" si="202"/>
        <v>0</v>
      </c>
      <c r="AQ379" s="219">
        <f t="shared" si="202"/>
        <v>0</v>
      </c>
      <c r="AR379" s="219">
        <f t="shared" si="202"/>
        <v>0</v>
      </c>
      <c r="AS379" s="219">
        <f t="shared" si="202"/>
        <v>0</v>
      </c>
      <c r="AT379" s="219">
        <f t="shared" si="202"/>
        <v>0</v>
      </c>
      <c r="AU379" s="219">
        <f t="shared" si="202"/>
        <v>0</v>
      </c>
      <c r="AV379" s="219">
        <f t="shared" si="202"/>
        <v>0</v>
      </c>
      <c r="AW379" s="219">
        <f t="shared" si="202"/>
        <v>0</v>
      </c>
      <c r="AX379" s="219">
        <f t="shared" si="202"/>
        <v>0</v>
      </c>
      <c r="AY379" s="120">
        <f t="shared" si="203"/>
        <v>0</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9">
        <f t="shared" si="205"/>
        <v>0</v>
      </c>
      <c r="AB380" s="219">
        <f t="shared" si="202"/>
        <v>0</v>
      </c>
      <c r="AC380" s="219">
        <f t="shared" si="202"/>
        <v>0</v>
      </c>
      <c r="AD380" s="219">
        <f t="shared" ref="AD380:AX392" si="207">IF(E380=0,0,E380/AD16)</f>
        <v>0</v>
      </c>
      <c r="AE380" s="219">
        <f t="shared" si="207"/>
        <v>0</v>
      </c>
      <c r="AF380" s="219">
        <f t="shared" si="207"/>
        <v>0</v>
      </c>
      <c r="AG380" s="219">
        <f t="shared" si="207"/>
        <v>0</v>
      </c>
      <c r="AH380" s="219">
        <f t="shared" si="207"/>
        <v>0</v>
      </c>
      <c r="AI380" s="219">
        <f t="shared" si="207"/>
        <v>0</v>
      </c>
      <c r="AJ380" s="219">
        <f t="shared" si="207"/>
        <v>0</v>
      </c>
      <c r="AK380" s="219">
        <f t="shared" si="207"/>
        <v>0</v>
      </c>
      <c r="AL380" s="219">
        <f t="shared" si="207"/>
        <v>0</v>
      </c>
      <c r="AM380" s="219">
        <f t="shared" si="207"/>
        <v>0</v>
      </c>
      <c r="AN380" s="219">
        <f t="shared" si="207"/>
        <v>0</v>
      </c>
      <c r="AO380" s="219">
        <f t="shared" si="207"/>
        <v>0</v>
      </c>
      <c r="AP380" s="219">
        <f t="shared" si="207"/>
        <v>0</v>
      </c>
      <c r="AQ380" s="219">
        <f t="shared" si="207"/>
        <v>0</v>
      </c>
      <c r="AR380" s="219">
        <f t="shared" si="207"/>
        <v>0</v>
      </c>
      <c r="AS380" s="219">
        <f t="shared" si="207"/>
        <v>0</v>
      </c>
      <c r="AT380" s="219">
        <f t="shared" si="207"/>
        <v>0</v>
      </c>
      <c r="AU380" s="219">
        <f t="shared" si="207"/>
        <v>0</v>
      </c>
      <c r="AV380" s="219">
        <f t="shared" si="207"/>
        <v>0</v>
      </c>
      <c r="AW380" s="219">
        <f t="shared" si="207"/>
        <v>0</v>
      </c>
      <c r="AX380" s="219">
        <f t="shared" si="207"/>
        <v>0</v>
      </c>
      <c r="AY380" s="120">
        <f t="shared" si="203"/>
        <v>0</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19">
        <f t="shared" si="205"/>
        <v>0</v>
      </c>
      <c r="AB381" s="219">
        <f t="shared" si="205"/>
        <v>0</v>
      </c>
      <c r="AC381" s="219">
        <f t="shared" si="205"/>
        <v>0</v>
      </c>
      <c r="AD381" s="219">
        <f t="shared" si="207"/>
        <v>0</v>
      </c>
      <c r="AE381" s="219">
        <f t="shared" si="207"/>
        <v>0</v>
      </c>
      <c r="AF381" s="219">
        <f t="shared" si="207"/>
        <v>0</v>
      </c>
      <c r="AG381" s="219">
        <f t="shared" si="207"/>
        <v>0</v>
      </c>
      <c r="AH381" s="219">
        <f t="shared" si="207"/>
        <v>0</v>
      </c>
      <c r="AI381" s="219">
        <f t="shared" si="207"/>
        <v>0</v>
      </c>
      <c r="AJ381" s="219">
        <f t="shared" si="207"/>
        <v>0</v>
      </c>
      <c r="AK381" s="219">
        <f t="shared" si="207"/>
        <v>0</v>
      </c>
      <c r="AL381" s="219">
        <f t="shared" si="207"/>
        <v>0</v>
      </c>
      <c r="AM381" s="219">
        <f t="shared" si="207"/>
        <v>0</v>
      </c>
      <c r="AN381" s="219">
        <f t="shared" si="207"/>
        <v>0</v>
      </c>
      <c r="AO381" s="219">
        <f t="shared" si="207"/>
        <v>0</v>
      </c>
      <c r="AP381" s="219">
        <f t="shared" si="207"/>
        <v>0</v>
      </c>
      <c r="AQ381" s="219">
        <f t="shared" si="207"/>
        <v>0</v>
      </c>
      <c r="AR381" s="219">
        <f t="shared" si="207"/>
        <v>0</v>
      </c>
      <c r="AS381" s="219">
        <f t="shared" si="207"/>
        <v>0</v>
      </c>
      <c r="AT381" s="219">
        <f t="shared" si="207"/>
        <v>0</v>
      </c>
      <c r="AU381" s="219">
        <f t="shared" si="207"/>
        <v>0</v>
      </c>
      <c r="AV381" s="219">
        <f t="shared" si="207"/>
        <v>0</v>
      </c>
      <c r="AW381" s="219">
        <f t="shared" si="207"/>
        <v>0</v>
      </c>
      <c r="AX381" s="219">
        <f t="shared" si="207"/>
        <v>0</v>
      </c>
      <c r="AY381" s="120">
        <f t="shared" si="203"/>
        <v>0</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19">
        <f t="shared" si="205"/>
        <v>0</v>
      </c>
      <c r="AB382" s="219">
        <f t="shared" si="205"/>
        <v>0</v>
      </c>
      <c r="AC382" s="219">
        <f t="shared" si="205"/>
        <v>0</v>
      </c>
      <c r="AD382" s="219">
        <f t="shared" si="207"/>
        <v>0</v>
      </c>
      <c r="AE382" s="219">
        <f t="shared" si="207"/>
        <v>0</v>
      </c>
      <c r="AF382" s="219">
        <f t="shared" si="207"/>
        <v>0</v>
      </c>
      <c r="AG382" s="219">
        <f t="shared" si="207"/>
        <v>0</v>
      </c>
      <c r="AH382" s="219">
        <f t="shared" si="207"/>
        <v>0</v>
      </c>
      <c r="AI382" s="219">
        <f t="shared" si="207"/>
        <v>0</v>
      </c>
      <c r="AJ382" s="219">
        <f t="shared" si="207"/>
        <v>0</v>
      </c>
      <c r="AK382" s="219">
        <f t="shared" si="207"/>
        <v>0</v>
      </c>
      <c r="AL382" s="219">
        <f t="shared" si="207"/>
        <v>0</v>
      </c>
      <c r="AM382" s="219">
        <f t="shared" si="207"/>
        <v>0</v>
      </c>
      <c r="AN382" s="219">
        <f t="shared" si="207"/>
        <v>0</v>
      </c>
      <c r="AO382" s="219">
        <f t="shared" si="207"/>
        <v>0</v>
      </c>
      <c r="AP382" s="219">
        <f t="shared" si="207"/>
        <v>0</v>
      </c>
      <c r="AQ382" s="219">
        <f t="shared" si="207"/>
        <v>0</v>
      </c>
      <c r="AR382" s="219">
        <f t="shared" si="207"/>
        <v>0</v>
      </c>
      <c r="AS382" s="219">
        <f t="shared" si="207"/>
        <v>0</v>
      </c>
      <c r="AT382" s="219">
        <f t="shared" si="207"/>
        <v>0</v>
      </c>
      <c r="AU382" s="219">
        <f t="shared" si="207"/>
        <v>0</v>
      </c>
      <c r="AV382" s="219">
        <f t="shared" si="207"/>
        <v>0</v>
      </c>
      <c r="AW382" s="219">
        <f t="shared" si="207"/>
        <v>0</v>
      </c>
      <c r="AX382" s="219">
        <f t="shared" si="207"/>
        <v>0</v>
      </c>
      <c r="AY382" s="120">
        <f t="shared" si="203"/>
        <v>0</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19">
        <f t="shared" si="205"/>
        <v>0</v>
      </c>
      <c r="AB383" s="219">
        <f t="shared" si="205"/>
        <v>0</v>
      </c>
      <c r="AC383" s="219">
        <f t="shared" si="205"/>
        <v>0</v>
      </c>
      <c r="AD383" s="219">
        <f t="shared" si="207"/>
        <v>0</v>
      </c>
      <c r="AE383" s="219">
        <f t="shared" si="207"/>
        <v>0</v>
      </c>
      <c r="AF383" s="219">
        <f t="shared" si="207"/>
        <v>0</v>
      </c>
      <c r="AG383" s="219">
        <f t="shared" si="207"/>
        <v>0</v>
      </c>
      <c r="AH383" s="219">
        <f t="shared" si="207"/>
        <v>0</v>
      </c>
      <c r="AI383" s="219">
        <f t="shared" si="207"/>
        <v>0</v>
      </c>
      <c r="AJ383" s="219">
        <f t="shared" si="207"/>
        <v>0</v>
      </c>
      <c r="AK383" s="219">
        <f t="shared" si="207"/>
        <v>0</v>
      </c>
      <c r="AL383" s="219">
        <f t="shared" si="207"/>
        <v>0</v>
      </c>
      <c r="AM383" s="219">
        <f t="shared" si="207"/>
        <v>0</v>
      </c>
      <c r="AN383" s="219">
        <f t="shared" si="207"/>
        <v>0</v>
      </c>
      <c r="AO383" s="219">
        <f t="shared" si="207"/>
        <v>0</v>
      </c>
      <c r="AP383" s="219">
        <f t="shared" si="207"/>
        <v>0</v>
      </c>
      <c r="AQ383" s="219">
        <f t="shared" si="207"/>
        <v>0</v>
      </c>
      <c r="AR383" s="219">
        <f t="shared" si="207"/>
        <v>0</v>
      </c>
      <c r="AS383" s="219">
        <f t="shared" si="207"/>
        <v>0</v>
      </c>
      <c r="AT383" s="219">
        <f t="shared" si="207"/>
        <v>0</v>
      </c>
      <c r="AU383" s="219">
        <f t="shared" si="207"/>
        <v>0</v>
      </c>
      <c r="AV383" s="219">
        <f t="shared" si="207"/>
        <v>0</v>
      </c>
      <c r="AW383" s="219">
        <f t="shared" si="207"/>
        <v>0</v>
      </c>
      <c r="AX383" s="219">
        <f t="shared" si="207"/>
        <v>0</v>
      </c>
      <c r="AY383" s="120">
        <f t="shared" si="203"/>
        <v>0</v>
      </c>
      <c r="AZ383" s="20" t="s">
        <v>246</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19">
        <f t="shared" si="205"/>
        <v>0</v>
      </c>
      <c r="AB384" s="219">
        <f t="shared" si="205"/>
        <v>0</v>
      </c>
      <c r="AC384" s="219">
        <f t="shared" si="205"/>
        <v>0</v>
      </c>
      <c r="AD384" s="219">
        <f t="shared" si="207"/>
        <v>0</v>
      </c>
      <c r="AE384" s="219">
        <f t="shared" si="207"/>
        <v>0</v>
      </c>
      <c r="AF384" s="219">
        <f t="shared" si="207"/>
        <v>0</v>
      </c>
      <c r="AG384" s="219">
        <f t="shared" si="207"/>
        <v>0</v>
      </c>
      <c r="AH384" s="219">
        <f t="shared" si="207"/>
        <v>0</v>
      </c>
      <c r="AI384" s="219">
        <f t="shared" si="207"/>
        <v>0</v>
      </c>
      <c r="AJ384" s="219">
        <f t="shared" si="207"/>
        <v>0</v>
      </c>
      <c r="AK384" s="219">
        <f t="shared" si="207"/>
        <v>0</v>
      </c>
      <c r="AL384" s="219">
        <f t="shared" si="207"/>
        <v>0</v>
      </c>
      <c r="AM384" s="219">
        <f t="shared" si="207"/>
        <v>0</v>
      </c>
      <c r="AN384" s="219">
        <f t="shared" si="207"/>
        <v>0</v>
      </c>
      <c r="AO384" s="219">
        <f t="shared" si="207"/>
        <v>0</v>
      </c>
      <c r="AP384" s="219">
        <f t="shared" si="207"/>
        <v>0</v>
      </c>
      <c r="AQ384" s="219">
        <f t="shared" si="207"/>
        <v>0</v>
      </c>
      <c r="AR384" s="219">
        <f t="shared" si="207"/>
        <v>0</v>
      </c>
      <c r="AS384" s="219">
        <f t="shared" si="207"/>
        <v>0</v>
      </c>
      <c r="AT384" s="219">
        <f t="shared" si="207"/>
        <v>0</v>
      </c>
      <c r="AU384" s="219">
        <f t="shared" si="207"/>
        <v>0</v>
      </c>
      <c r="AV384" s="219">
        <f t="shared" si="207"/>
        <v>0</v>
      </c>
      <c r="AW384" s="219">
        <f t="shared" si="207"/>
        <v>0</v>
      </c>
      <c r="AX384" s="219">
        <f t="shared" si="207"/>
        <v>0</v>
      </c>
      <c r="AY384" s="120">
        <f t="shared" si="203"/>
        <v>0</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19">
        <f t="shared" si="205"/>
        <v>0</v>
      </c>
      <c r="AB385" s="219">
        <f t="shared" si="205"/>
        <v>0</v>
      </c>
      <c r="AC385" s="219">
        <f t="shared" si="205"/>
        <v>0</v>
      </c>
      <c r="AD385" s="219">
        <f t="shared" si="207"/>
        <v>0</v>
      </c>
      <c r="AE385" s="219">
        <f t="shared" si="207"/>
        <v>0</v>
      </c>
      <c r="AF385" s="219">
        <f t="shared" si="207"/>
        <v>0</v>
      </c>
      <c r="AG385" s="219">
        <f t="shared" si="207"/>
        <v>0</v>
      </c>
      <c r="AH385" s="219">
        <f t="shared" si="207"/>
        <v>0</v>
      </c>
      <c r="AI385" s="219">
        <f t="shared" si="207"/>
        <v>0</v>
      </c>
      <c r="AJ385" s="219">
        <f t="shared" si="207"/>
        <v>0</v>
      </c>
      <c r="AK385" s="219">
        <f t="shared" si="207"/>
        <v>0</v>
      </c>
      <c r="AL385" s="219">
        <f t="shared" si="207"/>
        <v>0</v>
      </c>
      <c r="AM385" s="219">
        <f t="shared" si="207"/>
        <v>0</v>
      </c>
      <c r="AN385" s="219">
        <f t="shared" si="207"/>
        <v>0</v>
      </c>
      <c r="AO385" s="219">
        <f t="shared" si="207"/>
        <v>0</v>
      </c>
      <c r="AP385" s="219">
        <f t="shared" si="207"/>
        <v>0</v>
      </c>
      <c r="AQ385" s="219">
        <f t="shared" si="207"/>
        <v>0</v>
      </c>
      <c r="AR385" s="219">
        <f t="shared" si="207"/>
        <v>0</v>
      </c>
      <c r="AS385" s="219">
        <f t="shared" si="207"/>
        <v>0</v>
      </c>
      <c r="AT385" s="219">
        <f t="shared" si="207"/>
        <v>0</v>
      </c>
      <c r="AU385" s="219">
        <f t="shared" si="207"/>
        <v>0</v>
      </c>
      <c r="AV385" s="219">
        <f t="shared" si="207"/>
        <v>0</v>
      </c>
      <c r="AW385" s="219">
        <f t="shared" si="207"/>
        <v>0</v>
      </c>
      <c r="AX385" s="219">
        <f t="shared" si="207"/>
        <v>0</v>
      </c>
      <c r="AY385" s="120">
        <f t="shared" si="203"/>
        <v>0</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19">
        <f t="shared" ref="AA386:AF399" si="209">IF(B386=0,0,B386/AA22)</f>
        <v>0</v>
      </c>
      <c r="AB386" s="219">
        <f t="shared" si="209"/>
        <v>0</v>
      </c>
      <c r="AC386" s="219">
        <f t="shared" si="209"/>
        <v>0</v>
      </c>
      <c r="AD386" s="219">
        <f t="shared" si="207"/>
        <v>0</v>
      </c>
      <c r="AE386" s="219">
        <f t="shared" si="207"/>
        <v>0</v>
      </c>
      <c r="AF386" s="219">
        <f t="shared" si="207"/>
        <v>0</v>
      </c>
      <c r="AG386" s="219">
        <f t="shared" si="207"/>
        <v>0</v>
      </c>
      <c r="AH386" s="219">
        <f t="shared" si="207"/>
        <v>0</v>
      </c>
      <c r="AI386" s="219">
        <f t="shared" si="207"/>
        <v>0</v>
      </c>
      <c r="AJ386" s="219">
        <f t="shared" si="207"/>
        <v>0</v>
      </c>
      <c r="AK386" s="219">
        <f t="shared" si="207"/>
        <v>0</v>
      </c>
      <c r="AL386" s="219">
        <f t="shared" si="207"/>
        <v>0</v>
      </c>
      <c r="AM386" s="219">
        <f t="shared" si="207"/>
        <v>0</v>
      </c>
      <c r="AN386" s="219">
        <f t="shared" si="207"/>
        <v>0</v>
      </c>
      <c r="AO386" s="219">
        <f t="shared" si="207"/>
        <v>0</v>
      </c>
      <c r="AP386" s="219">
        <f t="shared" si="207"/>
        <v>0</v>
      </c>
      <c r="AQ386" s="219">
        <f t="shared" si="207"/>
        <v>0</v>
      </c>
      <c r="AR386" s="219">
        <f t="shared" si="207"/>
        <v>0</v>
      </c>
      <c r="AS386" s="219">
        <f t="shared" si="207"/>
        <v>0</v>
      </c>
      <c r="AT386" s="219">
        <f t="shared" si="207"/>
        <v>0</v>
      </c>
      <c r="AU386" s="219">
        <f t="shared" si="207"/>
        <v>0</v>
      </c>
      <c r="AV386" s="219">
        <f t="shared" si="207"/>
        <v>0</v>
      </c>
      <c r="AW386" s="219">
        <f t="shared" si="207"/>
        <v>0</v>
      </c>
      <c r="AX386" s="219">
        <f t="shared" si="207"/>
        <v>0</v>
      </c>
      <c r="AY386" s="120">
        <f t="shared" si="203"/>
        <v>0</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19">
        <f t="shared" si="209"/>
        <v>0</v>
      </c>
      <c r="AB387" s="219">
        <f t="shared" si="209"/>
        <v>0</v>
      </c>
      <c r="AC387" s="219">
        <f t="shared" si="209"/>
        <v>0</v>
      </c>
      <c r="AD387" s="219">
        <f t="shared" si="207"/>
        <v>0</v>
      </c>
      <c r="AE387" s="219">
        <f t="shared" si="207"/>
        <v>0</v>
      </c>
      <c r="AF387" s="219">
        <f t="shared" si="207"/>
        <v>0</v>
      </c>
      <c r="AG387" s="219">
        <f t="shared" si="207"/>
        <v>0</v>
      </c>
      <c r="AH387" s="219">
        <f t="shared" si="207"/>
        <v>0</v>
      </c>
      <c r="AI387" s="219">
        <f t="shared" si="207"/>
        <v>0</v>
      </c>
      <c r="AJ387" s="219">
        <f t="shared" si="207"/>
        <v>0</v>
      </c>
      <c r="AK387" s="219">
        <f t="shared" si="207"/>
        <v>0</v>
      </c>
      <c r="AL387" s="219">
        <f t="shared" si="207"/>
        <v>0</v>
      </c>
      <c r="AM387" s="219">
        <f t="shared" si="207"/>
        <v>0</v>
      </c>
      <c r="AN387" s="219">
        <f t="shared" si="207"/>
        <v>0</v>
      </c>
      <c r="AO387" s="219">
        <f t="shared" si="207"/>
        <v>0</v>
      </c>
      <c r="AP387" s="219">
        <f t="shared" si="207"/>
        <v>0</v>
      </c>
      <c r="AQ387" s="219">
        <f t="shared" si="207"/>
        <v>0</v>
      </c>
      <c r="AR387" s="219">
        <f t="shared" si="207"/>
        <v>0</v>
      </c>
      <c r="AS387" s="219">
        <f t="shared" si="207"/>
        <v>0</v>
      </c>
      <c r="AT387" s="219">
        <f t="shared" si="207"/>
        <v>0</v>
      </c>
      <c r="AU387" s="219">
        <f t="shared" si="207"/>
        <v>0</v>
      </c>
      <c r="AV387" s="219">
        <f t="shared" si="207"/>
        <v>0</v>
      </c>
      <c r="AW387" s="219">
        <f t="shared" si="207"/>
        <v>0</v>
      </c>
      <c r="AX387" s="219">
        <f t="shared" si="207"/>
        <v>0</v>
      </c>
      <c r="AY387" s="120">
        <f t="shared" si="203"/>
        <v>0</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9">
        <f t="shared" si="209"/>
        <v>0</v>
      </c>
      <c r="AB388" s="219">
        <f t="shared" si="209"/>
        <v>0</v>
      </c>
      <c r="AC388" s="219">
        <f t="shared" si="209"/>
        <v>0</v>
      </c>
      <c r="AD388" s="219">
        <f t="shared" si="207"/>
        <v>0</v>
      </c>
      <c r="AE388" s="219">
        <f t="shared" si="207"/>
        <v>0</v>
      </c>
      <c r="AF388" s="219">
        <f t="shared" si="207"/>
        <v>0</v>
      </c>
      <c r="AG388" s="219">
        <f t="shared" si="207"/>
        <v>0</v>
      </c>
      <c r="AH388" s="219">
        <f t="shared" si="207"/>
        <v>0</v>
      </c>
      <c r="AI388" s="219">
        <f t="shared" si="207"/>
        <v>0</v>
      </c>
      <c r="AJ388" s="219">
        <f t="shared" si="207"/>
        <v>0</v>
      </c>
      <c r="AK388" s="219">
        <f t="shared" si="207"/>
        <v>0</v>
      </c>
      <c r="AL388" s="219">
        <f t="shared" si="207"/>
        <v>0</v>
      </c>
      <c r="AM388" s="219">
        <f t="shared" si="207"/>
        <v>0</v>
      </c>
      <c r="AN388" s="219">
        <f t="shared" si="207"/>
        <v>0</v>
      </c>
      <c r="AO388" s="219">
        <f t="shared" si="207"/>
        <v>0</v>
      </c>
      <c r="AP388" s="219">
        <f t="shared" si="207"/>
        <v>0</v>
      </c>
      <c r="AQ388" s="219">
        <f t="shared" si="207"/>
        <v>0</v>
      </c>
      <c r="AR388" s="219">
        <f t="shared" si="207"/>
        <v>0</v>
      </c>
      <c r="AS388" s="219">
        <f t="shared" si="207"/>
        <v>0</v>
      </c>
      <c r="AT388" s="219">
        <f t="shared" si="207"/>
        <v>0</v>
      </c>
      <c r="AU388" s="219">
        <f t="shared" si="207"/>
        <v>0</v>
      </c>
      <c r="AV388" s="219">
        <f t="shared" si="207"/>
        <v>0</v>
      </c>
      <c r="AW388" s="219">
        <f t="shared" si="207"/>
        <v>0</v>
      </c>
      <c r="AX388" s="219">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9">
        <f t="shared" si="209"/>
        <v>0</v>
      </c>
      <c r="AB389" s="219">
        <f t="shared" si="209"/>
        <v>0</v>
      </c>
      <c r="AC389" s="219">
        <f t="shared" si="209"/>
        <v>0</v>
      </c>
      <c r="AD389" s="219">
        <f t="shared" si="207"/>
        <v>0</v>
      </c>
      <c r="AE389" s="219">
        <f t="shared" si="207"/>
        <v>0</v>
      </c>
      <c r="AF389" s="219">
        <f t="shared" si="207"/>
        <v>0</v>
      </c>
      <c r="AG389" s="219">
        <f t="shared" si="207"/>
        <v>0</v>
      </c>
      <c r="AH389" s="219">
        <f t="shared" si="207"/>
        <v>0</v>
      </c>
      <c r="AI389" s="219">
        <f t="shared" si="207"/>
        <v>0</v>
      </c>
      <c r="AJ389" s="219">
        <f t="shared" si="207"/>
        <v>0</v>
      </c>
      <c r="AK389" s="219">
        <f t="shared" si="207"/>
        <v>0</v>
      </c>
      <c r="AL389" s="219">
        <f t="shared" si="207"/>
        <v>0</v>
      </c>
      <c r="AM389" s="219">
        <f t="shared" si="207"/>
        <v>0</v>
      </c>
      <c r="AN389" s="219">
        <f t="shared" si="207"/>
        <v>0</v>
      </c>
      <c r="AO389" s="219">
        <f t="shared" si="207"/>
        <v>0</v>
      </c>
      <c r="AP389" s="219">
        <f t="shared" si="207"/>
        <v>0</v>
      </c>
      <c r="AQ389" s="219">
        <f t="shared" si="207"/>
        <v>0</v>
      </c>
      <c r="AR389" s="219">
        <f t="shared" si="207"/>
        <v>0</v>
      </c>
      <c r="AS389" s="219">
        <f t="shared" si="207"/>
        <v>0</v>
      </c>
      <c r="AT389" s="219">
        <f t="shared" si="207"/>
        <v>0</v>
      </c>
      <c r="AU389" s="219">
        <f t="shared" si="207"/>
        <v>0</v>
      </c>
      <c r="AV389" s="219">
        <f t="shared" si="207"/>
        <v>0</v>
      </c>
      <c r="AW389" s="219">
        <f t="shared" si="207"/>
        <v>0</v>
      </c>
      <c r="AX389" s="219">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19">
        <f t="shared" si="209"/>
        <v>0</v>
      </c>
      <c r="AB390" s="219">
        <f t="shared" si="209"/>
        <v>0</v>
      </c>
      <c r="AC390" s="219">
        <f t="shared" si="209"/>
        <v>0</v>
      </c>
      <c r="AD390" s="219">
        <f t="shared" si="207"/>
        <v>0</v>
      </c>
      <c r="AE390" s="219">
        <f t="shared" si="207"/>
        <v>0</v>
      </c>
      <c r="AF390" s="219">
        <f t="shared" si="207"/>
        <v>0</v>
      </c>
      <c r="AG390" s="219">
        <f t="shared" si="207"/>
        <v>0</v>
      </c>
      <c r="AH390" s="219">
        <f t="shared" si="207"/>
        <v>0</v>
      </c>
      <c r="AI390" s="219">
        <f t="shared" si="207"/>
        <v>0</v>
      </c>
      <c r="AJ390" s="219">
        <f t="shared" si="207"/>
        <v>0</v>
      </c>
      <c r="AK390" s="219">
        <f t="shared" si="207"/>
        <v>0</v>
      </c>
      <c r="AL390" s="219">
        <f t="shared" si="207"/>
        <v>0</v>
      </c>
      <c r="AM390" s="219">
        <f t="shared" si="207"/>
        <v>0</v>
      </c>
      <c r="AN390" s="219">
        <f t="shared" si="207"/>
        <v>0</v>
      </c>
      <c r="AO390" s="219">
        <f t="shared" si="207"/>
        <v>0</v>
      </c>
      <c r="AP390" s="219">
        <f t="shared" si="207"/>
        <v>0</v>
      </c>
      <c r="AQ390" s="219">
        <f t="shared" si="207"/>
        <v>0</v>
      </c>
      <c r="AR390" s="219">
        <f t="shared" si="207"/>
        <v>0</v>
      </c>
      <c r="AS390" s="219">
        <f t="shared" si="207"/>
        <v>0</v>
      </c>
      <c r="AT390" s="219">
        <f t="shared" si="207"/>
        <v>0</v>
      </c>
      <c r="AU390" s="219">
        <f t="shared" si="207"/>
        <v>0</v>
      </c>
      <c r="AV390" s="219">
        <f t="shared" si="207"/>
        <v>0</v>
      </c>
      <c r="AW390" s="219">
        <f t="shared" si="207"/>
        <v>0</v>
      </c>
      <c r="AX390" s="219">
        <f t="shared" si="207"/>
        <v>0</v>
      </c>
      <c r="AY390" s="120">
        <f t="shared" si="203"/>
        <v>0</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19">
        <f t="shared" si="209"/>
        <v>0</v>
      </c>
      <c r="AB391" s="219">
        <f t="shared" si="209"/>
        <v>0</v>
      </c>
      <c r="AC391" s="219">
        <f t="shared" si="209"/>
        <v>0</v>
      </c>
      <c r="AD391" s="219">
        <f t="shared" si="207"/>
        <v>0</v>
      </c>
      <c r="AE391" s="219">
        <f t="shared" si="207"/>
        <v>0</v>
      </c>
      <c r="AF391" s="219">
        <f t="shared" si="207"/>
        <v>0</v>
      </c>
      <c r="AG391" s="219">
        <f t="shared" si="207"/>
        <v>0</v>
      </c>
      <c r="AH391" s="219">
        <f t="shared" si="207"/>
        <v>0</v>
      </c>
      <c r="AI391" s="219">
        <f t="shared" si="207"/>
        <v>0</v>
      </c>
      <c r="AJ391" s="219">
        <f t="shared" si="207"/>
        <v>0</v>
      </c>
      <c r="AK391" s="219">
        <f t="shared" si="207"/>
        <v>0</v>
      </c>
      <c r="AL391" s="219">
        <f t="shared" si="207"/>
        <v>0</v>
      </c>
      <c r="AM391" s="219">
        <f t="shared" si="207"/>
        <v>0</v>
      </c>
      <c r="AN391" s="219">
        <f t="shared" si="207"/>
        <v>0</v>
      </c>
      <c r="AO391" s="219">
        <f t="shared" si="207"/>
        <v>0</v>
      </c>
      <c r="AP391" s="219">
        <f t="shared" si="207"/>
        <v>0</v>
      </c>
      <c r="AQ391" s="219">
        <f t="shared" si="207"/>
        <v>0</v>
      </c>
      <c r="AR391" s="219">
        <f t="shared" si="207"/>
        <v>0</v>
      </c>
      <c r="AS391" s="219">
        <f t="shared" si="207"/>
        <v>0</v>
      </c>
      <c r="AT391" s="219">
        <f t="shared" si="207"/>
        <v>0</v>
      </c>
      <c r="AU391" s="219">
        <f t="shared" si="207"/>
        <v>0</v>
      </c>
      <c r="AV391" s="219">
        <f t="shared" si="207"/>
        <v>0</v>
      </c>
      <c r="AW391" s="219">
        <f t="shared" si="207"/>
        <v>0</v>
      </c>
      <c r="AX391" s="219">
        <f t="shared" si="207"/>
        <v>0</v>
      </c>
      <c r="AY391" s="120">
        <f t="shared" si="203"/>
        <v>0</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19">
        <f t="shared" si="209"/>
        <v>0</v>
      </c>
      <c r="AB392" s="219">
        <f t="shared" si="209"/>
        <v>0</v>
      </c>
      <c r="AC392" s="219">
        <f t="shared" si="209"/>
        <v>0</v>
      </c>
      <c r="AD392" s="219">
        <f t="shared" si="207"/>
        <v>0</v>
      </c>
      <c r="AE392" s="219">
        <f t="shared" si="207"/>
        <v>0</v>
      </c>
      <c r="AF392" s="219">
        <f t="shared" si="207"/>
        <v>0</v>
      </c>
      <c r="AG392" s="219">
        <f t="shared" ref="AG392:AX399" si="212">IF(H392=0,0,H392/AG28)</f>
        <v>0</v>
      </c>
      <c r="AH392" s="219">
        <f t="shared" si="212"/>
        <v>0</v>
      </c>
      <c r="AI392" s="219">
        <f t="shared" si="212"/>
        <v>0</v>
      </c>
      <c r="AJ392" s="219">
        <f t="shared" si="212"/>
        <v>0</v>
      </c>
      <c r="AK392" s="219">
        <f t="shared" si="212"/>
        <v>0</v>
      </c>
      <c r="AL392" s="219">
        <f t="shared" si="212"/>
        <v>0</v>
      </c>
      <c r="AM392" s="219">
        <f t="shared" si="212"/>
        <v>0</v>
      </c>
      <c r="AN392" s="219">
        <f t="shared" si="212"/>
        <v>0</v>
      </c>
      <c r="AO392" s="219">
        <f t="shared" si="212"/>
        <v>0</v>
      </c>
      <c r="AP392" s="219">
        <f t="shared" si="212"/>
        <v>0</v>
      </c>
      <c r="AQ392" s="219">
        <f t="shared" si="212"/>
        <v>0</v>
      </c>
      <c r="AR392" s="219">
        <f t="shared" si="212"/>
        <v>0</v>
      </c>
      <c r="AS392" s="219">
        <f t="shared" si="212"/>
        <v>0</v>
      </c>
      <c r="AT392" s="219">
        <f t="shared" si="212"/>
        <v>0</v>
      </c>
      <c r="AU392" s="219">
        <f t="shared" si="212"/>
        <v>0</v>
      </c>
      <c r="AV392" s="219">
        <f t="shared" si="212"/>
        <v>0</v>
      </c>
      <c r="AW392" s="219">
        <f t="shared" si="212"/>
        <v>0</v>
      </c>
      <c r="AX392" s="219">
        <f t="shared" si="212"/>
        <v>0</v>
      </c>
      <c r="AY392" s="120">
        <f t="shared" si="203"/>
        <v>0</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19">
        <f t="shared" si="209"/>
        <v>0</v>
      </c>
      <c r="AB393" s="219">
        <f t="shared" si="209"/>
        <v>0</v>
      </c>
      <c r="AC393" s="219">
        <f t="shared" si="209"/>
        <v>0</v>
      </c>
      <c r="AD393" s="219">
        <f t="shared" si="209"/>
        <v>0</v>
      </c>
      <c r="AE393" s="219">
        <f t="shared" si="209"/>
        <v>0</v>
      </c>
      <c r="AF393" s="219">
        <f t="shared" si="209"/>
        <v>0</v>
      </c>
      <c r="AG393" s="219">
        <f t="shared" si="212"/>
        <v>0</v>
      </c>
      <c r="AH393" s="219">
        <f t="shared" si="212"/>
        <v>0</v>
      </c>
      <c r="AI393" s="219">
        <f t="shared" si="212"/>
        <v>0</v>
      </c>
      <c r="AJ393" s="219">
        <f t="shared" si="212"/>
        <v>0</v>
      </c>
      <c r="AK393" s="219">
        <f t="shared" si="212"/>
        <v>0</v>
      </c>
      <c r="AL393" s="219">
        <f t="shared" si="212"/>
        <v>0</v>
      </c>
      <c r="AM393" s="219">
        <f t="shared" si="212"/>
        <v>0</v>
      </c>
      <c r="AN393" s="219">
        <f t="shared" si="212"/>
        <v>0</v>
      </c>
      <c r="AO393" s="219">
        <f t="shared" si="212"/>
        <v>0</v>
      </c>
      <c r="AP393" s="219">
        <f t="shared" si="212"/>
        <v>0</v>
      </c>
      <c r="AQ393" s="219">
        <f t="shared" si="212"/>
        <v>0</v>
      </c>
      <c r="AR393" s="219">
        <f t="shared" si="212"/>
        <v>0</v>
      </c>
      <c r="AS393" s="219">
        <f t="shared" si="212"/>
        <v>0</v>
      </c>
      <c r="AT393" s="219">
        <f t="shared" si="212"/>
        <v>0</v>
      </c>
      <c r="AU393" s="219">
        <f t="shared" si="212"/>
        <v>0</v>
      </c>
      <c r="AV393" s="219">
        <f t="shared" si="212"/>
        <v>0</v>
      </c>
      <c r="AW393" s="219">
        <f t="shared" si="212"/>
        <v>0</v>
      </c>
      <c r="AX393" s="219">
        <f t="shared" si="212"/>
        <v>0</v>
      </c>
      <c r="AY393" s="120">
        <f t="shared" si="203"/>
        <v>0</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9">
        <f t="shared" si="209"/>
        <v>0</v>
      </c>
      <c r="AB394" s="219">
        <f t="shared" si="209"/>
        <v>0</v>
      </c>
      <c r="AC394" s="219">
        <f t="shared" si="209"/>
        <v>0</v>
      </c>
      <c r="AD394" s="219">
        <f t="shared" si="209"/>
        <v>0</v>
      </c>
      <c r="AE394" s="219">
        <f t="shared" si="209"/>
        <v>0</v>
      </c>
      <c r="AF394" s="219">
        <f t="shared" si="209"/>
        <v>0</v>
      </c>
      <c r="AG394" s="219">
        <f t="shared" si="212"/>
        <v>0</v>
      </c>
      <c r="AH394" s="219">
        <f t="shared" si="212"/>
        <v>0</v>
      </c>
      <c r="AI394" s="219">
        <f t="shared" si="212"/>
        <v>0</v>
      </c>
      <c r="AJ394" s="219">
        <f t="shared" si="212"/>
        <v>0</v>
      </c>
      <c r="AK394" s="219">
        <f t="shared" si="212"/>
        <v>0</v>
      </c>
      <c r="AL394" s="219">
        <f t="shared" si="212"/>
        <v>0</v>
      </c>
      <c r="AM394" s="219">
        <f t="shared" si="212"/>
        <v>0</v>
      </c>
      <c r="AN394" s="219">
        <f t="shared" si="212"/>
        <v>0</v>
      </c>
      <c r="AO394" s="219">
        <f t="shared" si="212"/>
        <v>0</v>
      </c>
      <c r="AP394" s="219">
        <f t="shared" si="212"/>
        <v>0</v>
      </c>
      <c r="AQ394" s="219">
        <f t="shared" si="212"/>
        <v>0</v>
      </c>
      <c r="AR394" s="219">
        <f t="shared" si="212"/>
        <v>0</v>
      </c>
      <c r="AS394" s="219">
        <f t="shared" si="212"/>
        <v>0</v>
      </c>
      <c r="AT394" s="219">
        <f t="shared" si="212"/>
        <v>0</v>
      </c>
      <c r="AU394" s="219">
        <f t="shared" si="212"/>
        <v>0</v>
      </c>
      <c r="AV394" s="219">
        <f t="shared" si="212"/>
        <v>0</v>
      </c>
      <c r="AW394" s="219">
        <f t="shared" si="212"/>
        <v>0</v>
      </c>
      <c r="AX394" s="219">
        <f t="shared" si="212"/>
        <v>0</v>
      </c>
      <c r="AY394" s="120">
        <f t="shared" si="203"/>
        <v>0</v>
      </c>
      <c r="AZ394" s="20" t="s">
        <v>246</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9">
        <f t="shared" si="209"/>
        <v>0</v>
      </c>
      <c r="AB395" s="219">
        <f t="shared" si="209"/>
        <v>0</v>
      </c>
      <c r="AC395" s="219">
        <f t="shared" si="209"/>
        <v>0</v>
      </c>
      <c r="AD395" s="219">
        <f t="shared" si="209"/>
        <v>0</v>
      </c>
      <c r="AE395" s="219">
        <f t="shared" si="209"/>
        <v>0</v>
      </c>
      <c r="AF395" s="219">
        <f t="shared" si="209"/>
        <v>0</v>
      </c>
      <c r="AG395" s="219">
        <f t="shared" si="212"/>
        <v>0</v>
      </c>
      <c r="AH395" s="219">
        <f t="shared" si="212"/>
        <v>0</v>
      </c>
      <c r="AI395" s="219">
        <f t="shared" si="212"/>
        <v>0</v>
      </c>
      <c r="AJ395" s="219">
        <f t="shared" si="212"/>
        <v>0</v>
      </c>
      <c r="AK395" s="219">
        <f t="shared" si="212"/>
        <v>0</v>
      </c>
      <c r="AL395" s="219">
        <f t="shared" si="212"/>
        <v>0</v>
      </c>
      <c r="AM395" s="219">
        <f t="shared" si="212"/>
        <v>0</v>
      </c>
      <c r="AN395" s="219">
        <f t="shared" si="212"/>
        <v>0</v>
      </c>
      <c r="AO395" s="219">
        <f t="shared" si="212"/>
        <v>0</v>
      </c>
      <c r="AP395" s="219">
        <f t="shared" si="212"/>
        <v>0</v>
      </c>
      <c r="AQ395" s="219">
        <f t="shared" si="212"/>
        <v>0</v>
      </c>
      <c r="AR395" s="219">
        <f t="shared" si="212"/>
        <v>0</v>
      </c>
      <c r="AS395" s="219">
        <f t="shared" si="212"/>
        <v>0</v>
      </c>
      <c r="AT395" s="219">
        <f t="shared" si="212"/>
        <v>0</v>
      </c>
      <c r="AU395" s="219">
        <f t="shared" si="212"/>
        <v>0</v>
      </c>
      <c r="AV395" s="219">
        <f t="shared" si="212"/>
        <v>0</v>
      </c>
      <c r="AW395" s="219">
        <f t="shared" si="212"/>
        <v>0</v>
      </c>
      <c r="AX395" s="219">
        <f t="shared" si="212"/>
        <v>0</v>
      </c>
      <c r="AY395" s="120">
        <f t="shared" si="203"/>
        <v>0</v>
      </c>
      <c r="AZ395" s="20" t="s">
        <v>246</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19">
        <f t="shared" si="209"/>
        <v>0</v>
      </c>
      <c r="AB396" s="219">
        <f t="shared" si="209"/>
        <v>0</v>
      </c>
      <c r="AC396" s="219">
        <f t="shared" si="209"/>
        <v>0</v>
      </c>
      <c r="AD396" s="219">
        <f t="shared" si="209"/>
        <v>0</v>
      </c>
      <c r="AE396" s="219">
        <f t="shared" si="209"/>
        <v>0</v>
      </c>
      <c r="AF396" s="219">
        <f t="shared" si="209"/>
        <v>0</v>
      </c>
      <c r="AG396" s="219">
        <f t="shared" si="212"/>
        <v>0</v>
      </c>
      <c r="AH396" s="219">
        <f t="shared" si="212"/>
        <v>0</v>
      </c>
      <c r="AI396" s="219">
        <f t="shared" si="212"/>
        <v>0</v>
      </c>
      <c r="AJ396" s="219">
        <f t="shared" si="212"/>
        <v>0</v>
      </c>
      <c r="AK396" s="219">
        <f t="shared" si="212"/>
        <v>0</v>
      </c>
      <c r="AL396" s="219">
        <f t="shared" si="212"/>
        <v>0</v>
      </c>
      <c r="AM396" s="219">
        <f t="shared" si="212"/>
        <v>0</v>
      </c>
      <c r="AN396" s="219">
        <f t="shared" si="212"/>
        <v>0</v>
      </c>
      <c r="AO396" s="219">
        <f t="shared" si="212"/>
        <v>0</v>
      </c>
      <c r="AP396" s="219">
        <f t="shared" si="212"/>
        <v>0</v>
      </c>
      <c r="AQ396" s="219">
        <f t="shared" si="212"/>
        <v>0</v>
      </c>
      <c r="AR396" s="219">
        <f t="shared" si="212"/>
        <v>0</v>
      </c>
      <c r="AS396" s="219">
        <f t="shared" si="212"/>
        <v>0</v>
      </c>
      <c r="AT396" s="219">
        <f t="shared" si="212"/>
        <v>0</v>
      </c>
      <c r="AU396" s="219">
        <f t="shared" si="212"/>
        <v>0</v>
      </c>
      <c r="AV396" s="219">
        <f t="shared" si="212"/>
        <v>0</v>
      </c>
      <c r="AW396" s="219">
        <f t="shared" si="212"/>
        <v>0</v>
      </c>
      <c r="AX396" s="219">
        <f t="shared" si="212"/>
        <v>0</v>
      </c>
      <c r="AY396" s="120">
        <f t="shared" si="203"/>
        <v>0</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19">
        <f t="shared" si="209"/>
        <v>0</v>
      </c>
      <c r="AB397" s="219">
        <f t="shared" si="209"/>
        <v>0</v>
      </c>
      <c r="AC397" s="219">
        <f t="shared" si="209"/>
        <v>0</v>
      </c>
      <c r="AD397" s="219">
        <f t="shared" si="209"/>
        <v>0</v>
      </c>
      <c r="AE397" s="219">
        <f t="shared" si="209"/>
        <v>0</v>
      </c>
      <c r="AF397" s="219">
        <f t="shared" si="209"/>
        <v>0</v>
      </c>
      <c r="AG397" s="219">
        <f t="shared" si="212"/>
        <v>0</v>
      </c>
      <c r="AH397" s="219">
        <f t="shared" si="212"/>
        <v>0</v>
      </c>
      <c r="AI397" s="219">
        <f t="shared" si="212"/>
        <v>0</v>
      </c>
      <c r="AJ397" s="219">
        <f t="shared" si="212"/>
        <v>0</v>
      </c>
      <c r="AK397" s="219">
        <f>IF(L397=0,0,L397/#REF!)</f>
        <v>0</v>
      </c>
      <c r="AL397" s="219">
        <f t="shared" si="212"/>
        <v>0</v>
      </c>
      <c r="AM397" s="219">
        <f t="shared" si="212"/>
        <v>0</v>
      </c>
      <c r="AN397" s="219">
        <f t="shared" si="212"/>
        <v>0</v>
      </c>
      <c r="AO397" s="219">
        <f t="shared" si="212"/>
        <v>0</v>
      </c>
      <c r="AP397" s="219">
        <f t="shared" si="212"/>
        <v>0</v>
      </c>
      <c r="AQ397" s="219">
        <f t="shared" si="212"/>
        <v>0</v>
      </c>
      <c r="AR397" s="219">
        <f t="shared" si="212"/>
        <v>0</v>
      </c>
      <c r="AS397" s="219">
        <f t="shared" si="212"/>
        <v>0</v>
      </c>
      <c r="AT397" s="219">
        <f t="shared" si="212"/>
        <v>0</v>
      </c>
      <c r="AU397" s="219">
        <f t="shared" si="212"/>
        <v>0</v>
      </c>
      <c r="AV397" s="219">
        <f t="shared" si="212"/>
        <v>0</v>
      </c>
      <c r="AW397" s="219">
        <f t="shared" si="212"/>
        <v>0</v>
      </c>
      <c r="AX397" s="219">
        <f t="shared" si="212"/>
        <v>0</v>
      </c>
      <c r="AY397" s="120">
        <f t="shared" si="203"/>
        <v>0</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9">
        <f t="shared" si="209"/>
        <v>0</v>
      </c>
      <c r="AB398" s="219">
        <f t="shared" si="209"/>
        <v>0</v>
      </c>
      <c r="AC398" s="219">
        <f t="shared" si="209"/>
        <v>0</v>
      </c>
      <c r="AD398" s="219">
        <f t="shared" si="209"/>
        <v>0</v>
      </c>
      <c r="AE398" s="219">
        <f t="shared" si="209"/>
        <v>0</v>
      </c>
      <c r="AF398" s="219">
        <f t="shared" si="209"/>
        <v>0</v>
      </c>
      <c r="AG398" s="219">
        <f t="shared" si="212"/>
        <v>0</v>
      </c>
      <c r="AH398" s="219">
        <f t="shared" si="212"/>
        <v>0</v>
      </c>
      <c r="AI398" s="219">
        <f t="shared" si="212"/>
        <v>0</v>
      </c>
      <c r="AJ398" s="219">
        <f t="shared" si="212"/>
        <v>0</v>
      </c>
      <c r="AK398" s="219">
        <f>IF(L398=0,0,L398/AK33)</f>
        <v>0</v>
      </c>
      <c r="AL398" s="219">
        <f t="shared" si="212"/>
        <v>0</v>
      </c>
      <c r="AM398" s="219">
        <f t="shared" si="212"/>
        <v>0</v>
      </c>
      <c r="AN398" s="219">
        <f t="shared" si="212"/>
        <v>0</v>
      </c>
      <c r="AO398" s="219">
        <f t="shared" si="212"/>
        <v>0</v>
      </c>
      <c r="AP398" s="219">
        <f t="shared" si="212"/>
        <v>0</v>
      </c>
      <c r="AQ398" s="219">
        <f t="shared" si="212"/>
        <v>0</v>
      </c>
      <c r="AR398" s="219">
        <f t="shared" si="212"/>
        <v>0</v>
      </c>
      <c r="AS398" s="219">
        <f t="shared" si="212"/>
        <v>0</v>
      </c>
      <c r="AT398" s="219">
        <f t="shared" si="212"/>
        <v>0</v>
      </c>
      <c r="AU398" s="219">
        <f t="shared" si="212"/>
        <v>0</v>
      </c>
      <c r="AV398" s="219">
        <f t="shared" si="212"/>
        <v>0</v>
      </c>
      <c r="AW398" s="219">
        <f t="shared" si="212"/>
        <v>0</v>
      </c>
      <c r="AX398" s="219">
        <f t="shared" si="212"/>
        <v>0</v>
      </c>
      <c r="AY398" s="120">
        <f t="shared" si="203"/>
        <v>0</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9">
        <f t="shared" si="209"/>
        <v>0</v>
      </c>
      <c r="AB399" s="219">
        <f t="shared" si="209"/>
        <v>0</v>
      </c>
      <c r="AC399" s="219">
        <f t="shared" si="209"/>
        <v>0</v>
      </c>
      <c r="AD399" s="219">
        <f t="shared" si="209"/>
        <v>0</v>
      </c>
      <c r="AE399" s="219">
        <f t="shared" si="209"/>
        <v>0</v>
      </c>
      <c r="AF399" s="219">
        <f t="shared" si="209"/>
        <v>0</v>
      </c>
      <c r="AG399" s="219">
        <f t="shared" si="212"/>
        <v>0</v>
      </c>
      <c r="AH399" s="219">
        <f t="shared" si="212"/>
        <v>0</v>
      </c>
      <c r="AI399" s="219">
        <f t="shared" si="212"/>
        <v>0</v>
      </c>
      <c r="AJ399" s="219">
        <f t="shared" si="212"/>
        <v>0</v>
      </c>
      <c r="AK399" s="219">
        <f t="shared" si="212"/>
        <v>0</v>
      </c>
      <c r="AL399" s="219">
        <f t="shared" si="212"/>
        <v>0</v>
      </c>
      <c r="AM399" s="219">
        <f t="shared" si="212"/>
        <v>0</v>
      </c>
      <c r="AN399" s="219">
        <f t="shared" si="212"/>
        <v>0</v>
      </c>
      <c r="AO399" s="219">
        <f t="shared" si="212"/>
        <v>0</v>
      </c>
      <c r="AP399" s="219">
        <f t="shared" si="212"/>
        <v>0</v>
      </c>
      <c r="AQ399" s="219">
        <f t="shared" si="212"/>
        <v>0</v>
      </c>
      <c r="AR399" s="219">
        <f t="shared" si="212"/>
        <v>0</v>
      </c>
      <c r="AS399" s="219">
        <f t="shared" si="212"/>
        <v>0</v>
      </c>
      <c r="AT399" s="219">
        <f t="shared" si="212"/>
        <v>0</v>
      </c>
      <c r="AU399" s="219">
        <f t="shared" si="212"/>
        <v>0</v>
      </c>
      <c r="AV399" s="219">
        <f t="shared" si="212"/>
        <v>0</v>
      </c>
      <c r="AW399" s="219">
        <f t="shared" si="212"/>
        <v>0</v>
      </c>
      <c r="AX399" s="219">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37" sqref="E37"/>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3"/>
      <c r="C1" s="223"/>
      <c r="D1" s="223"/>
      <c r="E1" s="223"/>
    </row>
    <row r="2" spans="2:8" ht="21" customHeight="1">
      <c r="B2" s="223"/>
      <c r="C2" s="227"/>
      <c r="D2" s="227"/>
      <c r="E2" s="228" t="s">
        <v>32</v>
      </c>
    </row>
    <row r="3" spans="2:8" ht="15" customHeight="1">
      <c r="B3" s="223"/>
      <c r="C3" s="227"/>
      <c r="D3" s="227"/>
      <c r="E3" s="229" t="str">
        <f>Dat_01!A2</f>
        <v>Septiembre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269</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I41" sqref="I41"/>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Septiembre 2024</v>
      </c>
    </row>
    <row r="4" spans="3:12" ht="12.75">
      <c r="C4" s="19" t="s">
        <v>31</v>
      </c>
    </row>
    <row r="5" spans="3:12" ht="11.25">
      <c r="C5" s="3"/>
    </row>
    <row r="6" spans="3:12" ht="11.25">
      <c r="C6" s="4"/>
    </row>
    <row r="7" spans="3:12" ht="10.5" customHeight="1">
      <c r="C7" s="253" t="s">
        <v>38</v>
      </c>
    </row>
    <row r="8" spans="3:12" ht="10.5" customHeight="1">
      <c r="C8" s="253"/>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G5" sqref="G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Septiembre 2024</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53" t="s">
        <v>176</v>
      </c>
      <c r="D7" s="5"/>
      <c r="E7" s="6"/>
      <c r="H7" s="149"/>
    </row>
    <row r="8" spans="2:8" s="1" customFormat="1" ht="12.75" customHeight="1">
      <c r="B8" s="2"/>
      <c r="C8" s="253"/>
      <c r="D8" s="5"/>
      <c r="E8" s="6"/>
    </row>
    <row r="9" spans="2:8" s="1" customFormat="1">
      <c r="B9" s="2"/>
      <c r="C9" s="253"/>
      <c r="D9" s="5"/>
      <c r="E9" s="6"/>
    </row>
    <row r="10" spans="2:8" s="1" customFormat="1" ht="12.75" customHeight="1">
      <c r="B10" s="2"/>
      <c r="C10" s="253"/>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4" sqref="E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Septiembre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3" t="s">
        <v>51</v>
      </c>
      <c r="D7" s="5"/>
      <c r="E7" s="12"/>
    </row>
    <row r="8" spans="2:19" s="1" customFormat="1" ht="12.75" customHeight="1">
      <c r="B8" s="2"/>
      <c r="C8" s="253"/>
      <c r="D8" s="5"/>
      <c r="E8" s="12"/>
    </row>
    <row r="9" spans="2:19" s="1" customFormat="1" ht="18" customHeight="1">
      <c r="B9" s="2"/>
      <c r="C9" s="253"/>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J38" sqref="J38"/>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Septiembre 2024</v>
      </c>
    </row>
    <row r="4" spans="1:8">
      <c r="B4" s="19" t="s">
        <v>31</v>
      </c>
    </row>
    <row r="7" spans="1:8" ht="12.75" customHeight="1">
      <c r="B7" s="254" t="s">
        <v>44</v>
      </c>
    </row>
    <row r="8" spans="1:8">
      <c r="B8" s="254"/>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E31" sqref="E3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Septiembre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4" t="s">
        <v>29</v>
      </c>
      <c r="D7" s="5"/>
      <c r="E7" s="12"/>
    </row>
    <row r="8" spans="2:39" s="1" customFormat="1" ht="12.75" customHeight="1">
      <c r="B8" s="2"/>
      <c r="C8" s="254"/>
      <c r="D8" s="5"/>
      <c r="E8" s="12"/>
    </row>
    <row r="9" spans="2:39" s="1" customFormat="1" ht="12.75" customHeight="1">
      <c r="B9" s="2"/>
      <c r="C9" s="254"/>
      <c r="D9" s="5"/>
      <c r="E9" s="12"/>
    </row>
    <row r="10" spans="2:39" s="1" customFormat="1" ht="12.75" customHeight="1">
      <c r="B10" s="2"/>
      <c r="C10" s="254"/>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E31" sqref="E31"/>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5" t="s">
        <v>32</v>
      </c>
      <c r="F2" s="255"/>
      <c r="G2" s="255"/>
      <c r="H2" s="10"/>
      <c r="I2" s="10"/>
    </row>
    <row r="3" spans="2:11" ht="15" customHeight="1">
      <c r="E3" s="256" t="str">
        <f>Indice!E3</f>
        <v>Septiembre 2024</v>
      </c>
      <c r="F3" s="256"/>
      <c r="G3" s="256"/>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4" t="s">
        <v>70</v>
      </c>
      <c r="D7" s="59"/>
      <c r="E7" s="60"/>
      <c r="F7" s="76"/>
      <c r="G7" s="76"/>
      <c r="I7" s="156"/>
    </row>
    <row r="8" spans="2:11" s="61" customFormat="1" ht="15" customHeight="1">
      <c r="B8" s="58"/>
      <c r="C8" s="254"/>
      <c r="D8" s="59"/>
      <c r="E8" s="62"/>
      <c r="F8" s="63" t="str">
        <f>Dat_01!G97</f>
        <v>2023 Septiembre</v>
      </c>
      <c r="G8" s="63" t="str">
        <f>Dat_01!C97</f>
        <v>2024 Septiembre</v>
      </c>
      <c r="I8" s="156"/>
    </row>
    <row r="9" spans="2:11" s="1" customFormat="1" ht="15" customHeight="1">
      <c r="B9" s="2"/>
      <c r="C9" s="47"/>
      <c r="D9" s="5"/>
      <c r="E9" s="161" t="s">
        <v>206</v>
      </c>
      <c r="F9" s="162">
        <f>Dat_01!G98/1000000</f>
        <v>51.320378192939998</v>
      </c>
      <c r="G9" s="162">
        <f>Dat_01!C98/1000000</f>
        <v>83.336040221100006</v>
      </c>
      <c r="H9" s="61"/>
      <c r="I9" s="156"/>
      <c r="J9" s="61"/>
      <c r="K9" s="61"/>
    </row>
    <row r="10" spans="2:11" s="1" customFormat="1" ht="15" customHeight="1">
      <c r="B10" s="2"/>
      <c r="C10" s="254"/>
      <c r="D10" s="5"/>
      <c r="E10" s="161" t="s">
        <v>207</v>
      </c>
      <c r="F10" s="162">
        <f>Dat_01!G99/1000000</f>
        <v>62.35701866454</v>
      </c>
      <c r="G10" s="162">
        <f>Dat_01!C99/1000000</f>
        <v>67.331105344199997</v>
      </c>
      <c r="H10" s="61"/>
      <c r="I10" s="156"/>
      <c r="J10" s="61"/>
      <c r="K10" s="61"/>
    </row>
    <row r="11" spans="2:11" s="1" customFormat="1" ht="15" customHeight="1">
      <c r="B11" s="2"/>
      <c r="C11" s="254"/>
      <c r="D11" s="5"/>
      <c r="E11" s="56" t="s">
        <v>46</v>
      </c>
      <c r="F11" s="163">
        <f>SUM(F9:F10)</f>
        <v>113.67739685748001</v>
      </c>
      <c r="G11" s="163">
        <f>SUM(G9:G10)</f>
        <v>150.66714556530002</v>
      </c>
      <c r="H11" s="61"/>
      <c r="I11" s="156"/>
      <c r="J11" s="61"/>
      <c r="K11" s="61"/>
    </row>
    <row r="12" spans="2:11" s="1" customFormat="1" ht="15" customHeight="1">
      <c r="B12" s="2"/>
      <c r="C12" s="254"/>
      <c r="D12" s="5"/>
      <c r="E12" s="56" t="s">
        <v>249</v>
      </c>
      <c r="F12" s="163">
        <f>Dat_01!G101/1000000</f>
        <v>42.858953831379992</v>
      </c>
      <c r="G12" s="163">
        <f>Dat_01!C101/1000000</f>
        <v>50.7742761612</v>
      </c>
      <c r="H12" s="61"/>
      <c r="I12" s="156"/>
      <c r="J12" s="61"/>
      <c r="K12" s="61"/>
    </row>
    <row r="13" spans="2:11" s="1" customFormat="1" ht="15" customHeight="1">
      <c r="B13" s="2"/>
      <c r="C13" s="4"/>
      <c r="D13" s="5"/>
      <c r="E13" s="56" t="s">
        <v>16</v>
      </c>
      <c r="F13" s="163">
        <f>IF(Dat_01!G102="-",0,Dat_01!G102/1000000)</f>
        <v>10.116920432299999</v>
      </c>
      <c r="G13" s="163">
        <f>Dat_01!C102/1000000</f>
        <v>8.4623793602000017</v>
      </c>
      <c r="H13" s="61"/>
      <c r="I13" s="156"/>
      <c r="J13" s="61"/>
      <c r="K13" s="61"/>
    </row>
    <row r="14" spans="2:11" s="1" customFormat="1" ht="15" customHeight="1">
      <c r="B14" s="2"/>
      <c r="C14" s="4"/>
      <c r="D14" s="5"/>
      <c r="E14" s="56" t="s">
        <v>190</v>
      </c>
      <c r="F14" s="163">
        <f>(SUM(Dat_01!G103:G105)+IF(Dat_01!G106="-",0,Dat_01!G106))/1000000</f>
        <v>-13.97974459736</v>
      </c>
      <c r="G14" s="163">
        <f>(SUM(Dat_01!C103:C105)+IF(Dat_01!C106="-",0,Dat_01!C106))/1000000</f>
        <v>0.18396476869999803</v>
      </c>
      <c r="H14" s="61"/>
      <c r="I14" s="156"/>
      <c r="J14" s="61"/>
      <c r="K14" s="61"/>
    </row>
    <row r="15" spans="2:11" s="1" customFormat="1" ht="15" customHeight="1">
      <c r="B15" s="2"/>
      <c r="C15" s="4"/>
      <c r="D15" s="5"/>
      <c r="E15" s="56" t="s">
        <v>47</v>
      </c>
      <c r="F15" s="164">
        <f>IF(Dat_01!G107="-","-",Dat_01!G107/1000000)</f>
        <v>-1.2876080550200002</v>
      </c>
      <c r="G15" s="164">
        <f>IF(Dat_01!C107="-","-",Dat_01!C107/1000000)</f>
        <v>-2.0236124556999999</v>
      </c>
      <c r="H15" s="61"/>
      <c r="I15" s="156"/>
      <c r="J15" s="61"/>
      <c r="K15" s="61"/>
    </row>
    <row r="16" spans="2:11" s="1" customFormat="1" ht="15" customHeight="1">
      <c r="B16" s="2"/>
      <c r="C16" s="4"/>
      <c r="D16" s="5"/>
      <c r="E16" s="57" t="s">
        <v>191</v>
      </c>
      <c r="F16" s="165">
        <f>SUM(F11:F15)</f>
        <v>151.38591846878001</v>
      </c>
      <c r="G16" s="165">
        <f>SUM(G11:G15)</f>
        <v>208.06415339970002</v>
      </c>
      <c r="I16" s="98"/>
    </row>
    <row r="17" spans="2:10" s="1" customFormat="1" ht="15" customHeight="1">
      <c r="B17" s="2"/>
      <c r="C17" s="4"/>
      <c r="D17" s="4"/>
      <c r="E17" s="64" t="str">
        <f>"∆"&amp;MID(G8,1,4)&amp;"/"&amp;MID(F8,1,4)</f>
        <v>∆2024/2023</v>
      </c>
      <c r="F17" s="155"/>
      <c r="G17" s="65">
        <f>(G16-F16)/F16</f>
        <v>0.3743956868921639</v>
      </c>
      <c r="I17" s="4"/>
      <c r="J17" s="4"/>
    </row>
    <row r="18" spans="2:10" s="1" customFormat="1" ht="12.75" customHeight="1">
      <c r="B18" s="2"/>
      <c r="C18" s="4"/>
      <c r="D18" s="5"/>
      <c r="H18" s="55"/>
      <c r="I18" s="55"/>
    </row>
    <row r="19" spans="2:10" s="1" customFormat="1" ht="12.75" customHeight="1">
      <c r="B19" s="2"/>
      <c r="C19" s="4"/>
      <c r="D19" s="4"/>
      <c r="E19" s="257" t="s">
        <v>284</v>
      </c>
      <c r="F19" s="257"/>
      <c r="G19" s="257"/>
    </row>
    <row r="20" spans="2:10" s="1" customFormat="1" ht="12.75" customHeight="1">
      <c r="B20" s="2"/>
      <c r="C20" s="4"/>
      <c r="D20" s="4"/>
      <c r="E20" s="257"/>
      <c r="F20" s="257"/>
      <c r="G20" s="257"/>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E31" sqref="E3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Septiembre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4" t="s">
        <v>225</v>
      </c>
      <c r="D7" s="5"/>
      <c r="E7" s="12"/>
    </row>
    <row r="8" spans="2:9" s="1" customFormat="1" ht="12.75" customHeight="1">
      <c r="B8" s="2"/>
      <c r="C8" s="254"/>
      <c r="D8" s="5"/>
      <c r="E8" s="12"/>
    </row>
    <row r="9" spans="2:9" s="1" customFormat="1" ht="12.75" customHeight="1">
      <c r="B9" s="2"/>
      <c r="C9" s="254"/>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2024-10-14T08:44:14Z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