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codeName="ThisWorkbook"/>
  <mc:AlternateContent xmlns:mc="http://schemas.openxmlformats.org/markup-compatibility/2006">
    <mc:Choice Requires="x15">
      <x15ac:absPath xmlns:x15ac="http://schemas.microsoft.com/office/spreadsheetml/2010/11/ac" url="Z:\Departamento\Gestión de la Información\Publicaciones e Informes\Mensual\Boletín&amp;Consejo\BOLETIN ELECTRONICO\2025\ENE\INF_ELABORADA\"/>
    </mc:Choice>
  </mc:AlternateContent>
  <xr:revisionPtr revIDLastSave="0" documentId="13_ncr:1_{D7104DD1-7450-46DE-9910-8A2BBDDE71E3}" xr6:coauthVersionLast="47" xr6:coauthVersionMax="47" xr10:uidLastSave="{00000000-0000-0000-0000-000000000000}"/>
  <bookViews>
    <workbookView xWindow="-120" yWindow="-120" windowWidth="29040" windowHeight="15720" tabRatio="847" firstSheet="1" activeTab="16"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 i="96" l="1"/>
  <c r="AI8" i="96" l="1"/>
  <c r="N91" i="96" l="1"/>
  <c r="Q371" i="96" l="1"/>
  <c r="P371" i="96"/>
  <c r="P355" i="96"/>
  <c r="N318" i="96" l="1"/>
  <c r="M318" i="96"/>
  <c r="L318" i="96"/>
  <c r="K318" i="96"/>
  <c r="J318" i="96"/>
  <c r="I318" i="96"/>
  <c r="H318" i="96"/>
  <c r="G318" i="96"/>
  <c r="F318" i="96"/>
  <c r="E318" i="96"/>
  <c r="D318" i="96"/>
  <c r="C318" i="96"/>
  <c r="B318" i="96"/>
  <c r="P171" i="96"/>
  <c r="P152" i="96"/>
  <c r="Y35" i="97" l="1"/>
  <c r="X35" i="97"/>
  <c r="W35" i="97"/>
  <c r="V35" i="97"/>
  <c r="U35" i="97"/>
  <c r="T35" i="97"/>
  <c r="S35" i="97"/>
  <c r="R35" i="97"/>
  <c r="Q35" i="97"/>
  <c r="P35" i="97"/>
  <c r="O35" i="97"/>
  <c r="N35" i="97"/>
  <c r="M35" i="97"/>
  <c r="L35" i="97"/>
  <c r="K35" i="97"/>
  <c r="J35" i="97"/>
  <c r="I35" i="97"/>
  <c r="H35" i="97"/>
  <c r="G35" i="97"/>
  <c r="F35" i="97"/>
  <c r="E35" i="97"/>
  <c r="D35" i="97"/>
  <c r="C35" i="97"/>
  <c r="B35" i="97"/>
  <c r="A35" i="97"/>
  <c r="Y34" i="97"/>
  <c r="X34" i="97"/>
  <c r="W34" i="97"/>
  <c r="V34" i="97"/>
  <c r="U34" i="97"/>
  <c r="T34" i="97"/>
  <c r="S34" i="97"/>
  <c r="R34" i="97"/>
  <c r="Q34" i="97"/>
  <c r="P34" i="97"/>
  <c r="O34" i="97"/>
  <c r="N34" i="97"/>
  <c r="M34" i="97"/>
  <c r="L34" i="97"/>
  <c r="K34" i="97"/>
  <c r="J34" i="97"/>
  <c r="I34" i="97"/>
  <c r="H34" i="97"/>
  <c r="G34" i="97"/>
  <c r="F34" i="97"/>
  <c r="E34" i="97"/>
  <c r="D34" i="97"/>
  <c r="C34" i="97"/>
  <c r="B34" i="97"/>
  <c r="A34" i="97"/>
  <c r="Y33" i="97"/>
  <c r="X33" i="97"/>
  <c r="W33" i="97"/>
  <c r="V33" i="97"/>
  <c r="U33" i="97"/>
  <c r="T33" i="97"/>
  <c r="S33" i="97"/>
  <c r="R33" i="97"/>
  <c r="Q33" i="97"/>
  <c r="P33" i="97"/>
  <c r="O33" i="97"/>
  <c r="N33" i="97"/>
  <c r="M33" i="97"/>
  <c r="L33" i="97"/>
  <c r="K33" i="97"/>
  <c r="J33" i="97"/>
  <c r="I33" i="97"/>
  <c r="H33" i="97"/>
  <c r="G33" i="97"/>
  <c r="F33" i="97"/>
  <c r="E33" i="97"/>
  <c r="D33" i="97"/>
  <c r="C33" i="97"/>
  <c r="B33" i="97"/>
  <c r="A33" i="97"/>
  <c r="Y32" i="97"/>
  <c r="X32" i="97"/>
  <c r="W32" i="97"/>
  <c r="V32" i="97"/>
  <c r="U32" i="97"/>
  <c r="T32" i="97"/>
  <c r="S32" i="97"/>
  <c r="R32" i="97"/>
  <c r="Q32" i="97"/>
  <c r="P32" i="97"/>
  <c r="O32" i="97"/>
  <c r="N32" i="97"/>
  <c r="M32" i="97"/>
  <c r="L32" i="97"/>
  <c r="K32" i="97"/>
  <c r="J32" i="97"/>
  <c r="I32" i="97"/>
  <c r="H32" i="97"/>
  <c r="G32" i="97"/>
  <c r="F32" i="97"/>
  <c r="E32" i="97"/>
  <c r="D32" i="97"/>
  <c r="C32" i="97"/>
  <c r="B32" i="97"/>
  <c r="A32" i="97"/>
  <c r="Y31" i="97"/>
  <c r="X31" i="97"/>
  <c r="W31" i="97"/>
  <c r="V31" i="97"/>
  <c r="U31" i="97"/>
  <c r="T31" i="97"/>
  <c r="S31" i="97"/>
  <c r="R31" i="97"/>
  <c r="Q31" i="97"/>
  <c r="P31" i="97"/>
  <c r="O31" i="97"/>
  <c r="N31" i="97"/>
  <c r="M31" i="97"/>
  <c r="L31" i="97"/>
  <c r="K31" i="97"/>
  <c r="J31" i="97"/>
  <c r="I31" i="97"/>
  <c r="H31" i="97"/>
  <c r="G31" i="97"/>
  <c r="F31" i="97"/>
  <c r="E31" i="97"/>
  <c r="D31" i="97"/>
  <c r="C31" i="97"/>
  <c r="B31" i="97"/>
  <c r="A31" i="97"/>
  <c r="Y30" i="97"/>
  <c r="X30" i="97"/>
  <c r="W30" i="97"/>
  <c r="V30" i="97"/>
  <c r="U30" i="97"/>
  <c r="T30" i="97"/>
  <c r="S30" i="97"/>
  <c r="R30" i="97"/>
  <c r="Q30" i="97"/>
  <c r="P30" i="97"/>
  <c r="O30" i="97"/>
  <c r="N30" i="97"/>
  <c r="M30" i="97"/>
  <c r="L30" i="97"/>
  <c r="K30" i="97"/>
  <c r="J30" i="97"/>
  <c r="I30" i="97"/>
  <c r="H30" i="97"/>
  <c r="G30" i="97"/>
  <c r="F30" i="97"/>
  <c r="E30" i="97"/>
  <c r="D30" i="97"/>
  <c r="C30" i="97"/>
  <c r="B30" i="97"/>
  <c r="A30" i="97"/>
  <c r="Y29" i="97"/>
  <c r="X29" i="97"/>
  <c r="W29" i="97"/>
  <c r="V29" i="97"/>
  <c r="U29" i="97"/>
  <c r="T29" i="97"/>
  <c r="S29" i="97"/>
  <c r="R29" i="97"/>
  <c r="Q29" i="97"/>
  <c r="P29" i="97"/>
  <c r="O29" i="97"/>
  <c r="N29" i="97"/>
  <c r="M29" i="97"/>
  <c r="L29" i="97"/>
  <c r="K29" i="97"/>
  <c r="J29" i="97"/>
  <c r="I29" i="97"/>
  <c r="H29" i="97"/>
  <c r="G29" i="97"/>
  <c r="F29" i="97"/>
  <c r="E29" i="97"/>
  <c r="D29" i="97"/>
  <c r="C29" i="97"/>
  <c r="B29" i="97"/>
  <c r="A29" i="97"/>
  <c r="Y28" i="97"/>
  <c r="X28" i="97"/>
  <c r="W28" i="97"/>
  <c r="V28" i="97"/>
  <c r="U28" i="97"/>
  <c r="T28" i="97"/>
  <c r="S28" i="97"/>
  <c r="R28" i="97"/>
  <c r="Q28" i="97"/>
  <c r="P28" i="97"/>
  <c r="O28" i="97"/>
  <c r="N28" i="97"/>
  <c r="M28" i="97"/>
  <c r="L28" i="97"/>
  <c r="K28" i="97"/>
  <c r="J28" i="97"/>
  <c r="I28" i="97"/>
  <c r="H28" i="97"/>
  <c r="G28" i="97"/>
  <c r="F28" i="97"/>
  <c r="E28" i="97"/>
  <c r="D28" i="97"/>
  <c r="C28" i="97"/>
  <c r="B28" i="97"/>
  <c r="A28" i="97"/>
  <c r="Y27" i="97"/>
  <c r="X27" i="97"/>
  <c r="W27" i="97"/>
  <c r="V27" i="97"/>
  <c r="U27" i="97"/>
  <c r="T27" i="97"/>
  <c r="S27" i="97"/>
  <c r="R27" i="97"/>
  <c r="Q27" i="97"/>
  <c r="P27" i="97"/>
  <c r="O27" i="97"/>
  <c r="N27" i="97"/>
  <c r="M27" i="97"/>
  <c r="L27" i="97"/>
  <c r="K27" i="97"/>
  <c r="J27" i="97"/>
  <c r="I27" i="97"/>
  <c r="H27" i="97"/>
  <c r="G27" i="97"/>
  <c r="F27" i="97"/>
  <c r="E27" i="97"/>
  <c r="D27" i="97"/>
  <c r="C27" i="97"/>
  <c r="B27" i="97"/>
  <c r="A27" i="97"/>
  <c r="Y26" i="97"/>
  <c r="X26" i="97"/>
  <c r="W26" i="97"/>
  <c r="V26" i="97"/>
  <c r="U26" i="97"/>
  <c r="T26" i="97"/>
  <c r="S26" i="97"/>
  <c r="R26" i="97"/>
  <c r="Q26" i="97"/>
  <c r="P26" i="97"/>
  <c r="O26" i="97"/>
  <c r="N26" i="97"/>
  <c r="M26" i="97"/>
  <c r="L26" i="97"/>
  <c r="K26" i="97"/>
  <c r="J26" i="97"/>
  <c r="I26" i="97"/>
  <c r="H26" i="97"/>
  <c r="G26" i="97"/>
  <c r="F26" i="97"/>
  <c r="E26" i="97"/>
  <c r="D26" i="97"/>
  <c r="C26" i="97"/>
  <c r="B26" i="97"/>
  <c r="A26" i="97"/>
  <c r="Y25" i="97"/>
  <c r="X25" i="97"/>
  <c r="W25" i="97"/>
  <c r="V25" i="97"/>
  <c r="U25" i="97"/>
  <c r="T25" i="97"/>
  <c r="S25" i="97"/>
  <c r="R25" i="97"/>
  <c r="Q25" i="97"/>
  <c r="P25" i="97"/>
  <c r="O25" i="97"/>
  <c r="N25" i="97"/>
  <c r="M25" i="97"/>
  <c r="L25" i="97"/>
  <c r="K25" i="97"/>
  <c r="J25" i="97"/>
  <c r="I25" i="97"/>
  <c r="H25" i="97"/>
  <c r="G25" i="97"/>
  <c r="F25" i="97"/>
  <c r="E25" i="97"/>
  <c r="D25" i="97"/>
  <c r="C25" i="97"/>
  <c r="B25" i="97"/>
  <c r="A25" i="97"/>
  <c r="Y24" i="97"/>
  <c r="X24" i="97"/>
  <c r="W24" i="97"/>
  <c r="V24" i="97"/>
  <c r="U24" i="97"/>
  <c r="T24" i="97"/>
  <c r="S24" i="97"/>
  <c r="R24" i="97"/>
  <c r="Q24" i="97"/>
  <c r="P24" i="97"/>
  <c r="O24" i="97"/>
  <c r="N24" i="97"/>
  <c r="M24" i="97"/>
  <c r="L24" i="97"/>
  <c r="K24" i="97"/>
  <c r="J24" i="97"/>
  <c r="I24" i="97"/>
  <c r="H24" i="97"/>
  <c r="G24" i="97"/>
  <c r="F24" i="97"/>
  <c r="E24" i="97"/>
  <c r="D24" i="97"/>
  <c r="C24" i="97"/>
  <c r="B24" i="97"/>
  <c r="A24" i="97"/>
  <c r="Y23" i="97"/>
  <c r="X23" i="97"/>
  <c r="W23" i="97"/>
  <c r="V23" i="97"/>
  <c r="U23" i="97"/>
  <c r="T23" i="97"/>
  <c r="S23" i="97"/>
  <c r="R23" i="97"/>
  <c r="Q23" i="97"/>
  <c r="P23" i="97"/>
  <c r="O23" i="97"/>
  <c r="N23" i="97"/>
  <c r="M23" i="97"/>
  <c r="L23" i="97"/>
  <c r="K23" i="97"/>
  <c r="J23" i="97"/>
  <c r="I23" i="97"/>
  <c r="H23" i="97"/>
  <c r="G23" i="97"/>
  <c r="F23" i="97"/>
  <c r="E23" i="97"/>
  <c r="D23" i="97"/>
  <c r="C23" i="97"/>
  <c r="B23" i="97"/>
  <c r="A23" i="97"/>
  <c r="Y22" i="97"/>
  <c r="X22" i="97"/>
  <c r="W22" i="97"/>
  <c r="V22" i="97"/>
  <c r="U22" i="97"/>
  <c r="T22" i="97"/>
  <c r="S22" i="97"/>
  <c r="R22" i="97"/>
  <c r="Q22" i="97"/>
  <c r="P22" i="97"/>
  <c r="O22" i="97"/>
  <c r="N22" i="97"/>
  <c r="M22" i="97"/>
  <c r="L22" i="97"/>
  <c r="K22" i="97"/>
  <c r="J22" i="97"/>
  <c r="I22" i="97"/>
  <c r="H22" i="97"/>
  <c r="G22" i="97"/>
  <c r="F22" i="97"/>
  <c r="E22" i="97"/>
  <c r="D22" i="97"/>
  <c r="C22" i="97"/>
  <c r="B22" i="97"/>
  <c r="A22" i="97"/>
  <c r="Y21" i="97"/>
  <c r="X21" i="97"/>
  <c r="W21" i="97"/>
  <c r="V21" i="97"/>
  <c r="U21" i="97"/>
  <c r="T21" i="97"/>
  <c r="S21" i="97"/>
  <c r="R21" i="97"/>
  <c r="Q21" i="97"/>
  <c r="P21" i="97"/>
  <c r="O21" i="97"/>
  <c r="N21" i="97"/>
  <c r="M21" i="97"/>
  <c r="L21" i="97"/>
  <c r="K21" i="97"/>
  <c r="J21" i="97"/>
  <c r="I21" i="97"/>
  <c r="H21" i="97"/>
  <c r="G21" i="97"/>
  <c r="F21" i="97"/>
  <c r="E21" i="97"/>
  <c r="D21" i="97"/>
  <c r="C21" i="97"/>
  <c r="B21" i="97"/>
  <c r="A21" i="97"/>
  <c r="Y20" i="97"/>
  <c r="X20" i="97"/>
  <c r="W20" i="97"/>
  <c r="V20" i="97"/>
  <c r="U20" i="97"/>
  <c r="T20" i="97"/>
  <c r="S20" i="97"/>
  <c r="R20" i="97"/>
  <c r="Q20" i="97"/>
  <c r="P20" i="97"/>
  <c r="O20" i="97"/>
  <c r="N20" i="97"/>
  <c r="M20" i="97"/>
  <c r="L20" i="97"/>
  <c r="K20" i="97"/>
  <c r="J20" i="97"/>
  <c r="I20" i="97"/>
  <c r="H20" i="97"/>
  <c r="G20" i="97"/>
  <c r="F20" i="97"/>
  <c r="E20" i="97"/>
  <c r="D20" i="97"/>
  <c r="C20" i="97"/>
  <c r="B20" i="97"/>
  <c r="A20" i="97"/>
  <c r="Y19" i="97"/>
  <c r="X19" i="97"/>
  <c r="W19" i="97"/>
  <c r="V19" i="97"/>
  <c r="U19" i="97"/>
  <c r="T19" i="97"/>
  <c r="S19" i="97"/>
  <c r="R19" i="97"/>
  <c r="Q19" i="97"/>
  <c r="P19" i="97"/>
  <c r="O19" i="97"/>
  <c r="N19" i="97"/>
  <c r="M19" i="97"/>
  <c r="L19" i="97"/>
  <c r="K19" i="97"/>
  <c r="J19" i="97"/>
  <c r="I19" i="97"/>
  <c r="H19" i="97"/>
  <c r="G19" i="97"/>
  <c r="F19" i="97"/>
  <c r="E19" i="97"/>
  <c r="D19" i="97"/>
  <c r="C19" i="97"/>
  <c r="B19" i="97"/>
  <c r="A19" i="97"/>
  <c r="Y18" i="97"/>
  <c r="X18" i="97"/>
  <c r="W18" i="97"/>
  <c r="V18" i="97"/>
  <c r="U18" i="97"/>
  <c r="T18" i="97"/>
  <c r="S18" i="97"/>
  <c r="R18" i="97"/>
  <c r="Q18" i="97"/>
  <c r="P18" i="97"/>
  <c r="O18" i="97"/>
  <c r="N18" i="97"/>
  <c r="M18" i="97"/>
  <c r="L18" i="97"/>
  <c r="K18" i="97"/>
  <c r="J18" i="97"/>
  <c r="I18" i="97"/>
  <c r="H18" i="97"/>
  <c r="G18" i="97"/>
  <c r="F18" i="97"/>
  <c r="E18" i="97"/>
  <c r="D18" i="97"/>
  <c r="C18" i="97"/>
  <c r="B18" i="97"/>
  <c r="A18" i="97"/>
  <c r="Y17" i="97"/>
  <c r="X17" i="97"/>
  <c r="W17" i="97"/>
  <c r="V17" i="97"/>
  <c r="U17" i="97"/>
  <c r="T17" i="97"/>
  <c r="S17" i="97"/>
  <c r="R17" i="97"/>
  <c r="Q17" i="97"/>
  <c r="P17" i="97"/>
  <c r="O17" i="97"/>
  <c r="N17" i="97"/>
  <c r="M17" i="97"/>
  <c r="L17" i="97"/>
  <c r="K17" i="97"/>
  <c r="J17" i="97"/>
  <c r="I17" i="97"/>
  <c r="H17" i="97"/>
  <c r="G17" i="97"/>
  <c r="F17" i="97"/>
  <c r="E17" i="97"/>
  <c r="D17" i="97"/>
  <c r="C17" i="97"/>
  <c r="B17" i="97"/>
  <c r="A17" i="97"/>
  <c r="Y16" i="97"/>
  <c r="X16" i="97"/>
  <c r="W16" i="97"/>
  <c r="V16" i="97"/>
  <c r="U16" i="97"/>
  <c r="T16" i="97"/>
  <c r="S16" i="97"/>
  <c r="R16" i="97"/>
  <c r="Q16" i="97"/>
  <c r="P16" i="97"/>
  <c r="O16" i="97"/>
  <c r="N16" i="97"/>
  <c r="M16" i="97"/>
  <c r="L16" i="97"/>
  <c r="K16" i="97"/>
  <c r="J16" i="97"/>
  <c r="I16" i="97"/>
  <c r="H16" i="97"/>
  <c r="G16" i="97"/>
  <c r="F16" i="97"/>
  <c r="E16" i="97"/>
  <c r="D16" i="97"/>
  <c r="C16" i="97"/>
  <c r="B16" i="97"/>
  <c r="A16" i="97"/>
  <c r="Y15" i="97"/>
  <c r="X15" i="97"/>
  <c r="W15" i="97"/>
  <c r="V15" i="97"/>
  <c r="U15" i="97"/>
  <c r="T15" i="97"/>
  <c r="S15" i="97"/>
  <c r="R15" i="97"/>
  <c r="Q15" i="97"/>
  <c r="P15" i="97"/>
  <c r="O15" i="97"/>
  <c r="N15" i="97"/>
  <c r="M15" i="97"/>
  <c r="L15" i="97"/>
  <c r="K15" i="97"/>
  <c r="J15" i="97"/>
  <c r="I15" i="97"/>
  <c r="H15" i="97"/>
  <c r="G15" i="97"/>
  <c r="F15" i="97"/>
  <c r="E15" i="97"/>
  <c r="D15" i="97"/>
  <c r="C15" i="97"/>
  <c r="B15" i="97"/>
  <c r="A15" i="97"/>
  <c r="Y14" i="97"/>
  <c r="X14" i="97"/>
  <c r="W14" i="97"/>
  <c r="V14" i="97"/>
  <c r="U14" i="97"/>
  <c r="T14" i="97"/>
  <c r="S14" i="97"/>
  <c r="R14" i="97"/>
  <c r="Q14" i="97"/>
  <c r="P14" i="97"/>
  <c r="O14" i="97"/>
  <c r="N14" i="97"/>
  <c r="M14" i="97"/>
  <c r="L14" i="97"/>
  <c r="K14" i="97"/>
  <c r="J14" i="97"/>
  <c r="I14" i="97"/>
  <c r="H14" i="97"/>
  <c r="G14" i="97"/>
  <c r="F14" i="97"/>
  <c r="E14" i="97"/>
  <c r="D14" i="97"/>
  <c r="C14" i="97"/>
  <c r="B14" i="97"/>
  <c r="A14" i="97"/>
  <c r="Y13" i="97"/>
  <c r="X13" i="97"/>
  <c r="W13" i="97"/>
  <c r="V13" i="97"/>
  <c r="U13" i="97"/>
  <c r="T13" i="97"/>
  <c r="S13" i="97"/>
  <c r="R13" i="97"/>
  <c r="Q13" i="97"/>
  <c r="P13" i="97"/>
  <c r="O13" i="97"/>
  <c r="N13" i="97"/>
  <c r="M13" i="97"/>
  <c r="L13" i="97"/>
  <c r="K13" i="97"/>
  <c r="J13" i="97"/>
  <c r="I13" i="97"/>
  <c r="H13" i="97"/>
  <c r="G13" i="97"/>
  <c r="F13" i="97"/>
  <c r="E13" i="97"/>
  <c r="D13" i="97"/>
  <c r="C13" i="97"/>
  <c r="B13" i="97"/>
  <c r="A13" i="97"/>
  <c r="Y12" i="97"/>
  <c r="X12" i="97"/>
  <c r="W12" i="97"/>
  <c r="V12" i="97"/>
  <c r="U12" i="97"/>
  <c r="T12" i="97"/>
  <c r="S12" i="97"/>
  <c r="R12" i="97"/>
  <c r="Q12" i="97"/>
  <c r="P12" i="97"/>
  <c r="O12" i="97"/>
  <c r="N12" i="97"/>
  <c r="M12" i="97"/>
  <c r="L12" i="97"/>
  <c r="K12" i="97"/>
  <c r="J12" i="97"/>
  <c r="I12" i="97"/>
  <c r="H12" i="97"/>
  <c r="G12" i="97"/>
  <c r="F12" i="97"/>
  <c r="E12" i="97"/>
  <c r="D12" i="97"/>
  <c r="C12" i="97"/>
  <c r="B12" i="97"/>
  <c r="A12" i="97"/>
  <c r="Y11" i="97"/>
  <c r="X11" i="97"/>
  <c r="W11" i="97"/>
  <c r="V11" i="97"/>
  <c r="U11" i="97"/>
  <c r="T11" i="97"/>
  <c r="S11" i="97"/>
  <c r="R11" i="97"/>
  <c r="Q11" i="97"/>
  <c r="P11" i="97"/>
  <c r="O11" i="97"/>
  <c r="N11" i="97"/>
  <c r="M11" i="97"/>
  <c r="L11" i="97"/>
  <c r="K11" i="97"/>
  <c r="J11" i="97"/>
  <c r="I11" i="97"/>
  <c r="H11" i="97"/>
  <c r="G11" i="97"/>
  <c r="F11" i="97"/>
  <c r="E11" i="97"/>
  <c r="D11" i="97"/>
  <c r="C11" i="97"/>
  <c r="B11" i="97"/>
  <c r="A11" i="97"/>
  <c r="Y10" i="97"/>
  <c r="X10" i="97"/>
  <c r="W10" i="97"/>
  <c r="V10" i="97"/>
  <c r="U10" i="97"/>
  <c r="T10" i="97"/>
  <c r="S10" i="97"/>
  <c r="R10" i="97"/>
  <c r="Q10" i="97"/>
  <c r="P10" i="97"/>
  <c r="O10" i="97"/>
  <c r="N10" i="97"/>
  <c r="M10" i="97"/>
  <c r="L10" i="97"/>
  <c r="K10" i="97"/>
  <c r="J10" i="97"/>
  <c r="I10" i="97"/>
  <c r="H10" i="97"/>
  <c r="G10" i="97"/>
  <c r="F10" i="97"/>
  <c r="E10" i="97"/>
  <c r="D10" i="97"/>
  <c r="C10" i="97"/>
  <c r="B10" i="97"/>
  <c r="A10" i="97"/>
  <c r="Y9" i="97"/>
  <c r="X9" i="97"/>
  <c r="W9" i="97"/>
  <c r="V9" i="97"/>
  <c r="U9" i="97"/>
  <c r="T9" i="97"/>
  <c r="S9" i="97"/>
  <c r="R9" i="97"/>
  <c r="Q9" i="97"/>
  <c r="P9" i="97"/>
  <c r="O9" i="97"/>
  <c r="N9" i="97"/>
  <c r="M9" i="97"/>
  <c r="L9" i="97"/>
  <c r="K9" i="97"/>
  <c r="J9" i="97"/>
  <c r="I9" i="97"/>
  <c r="H9" i="97"/>
  <c r="G9" i="97"/>
  <c r="F9" i="97"/>
  <c r="E9" i="97"/>
  <c r="D9" i="97"/>
  <c r="C9" i="97"/>
  <c r="B9" i="97"/>
  <c r="A9" i="97"/>
  <c r="Y8" i="97"/>
  <c r="X8" i="97"/>
  <c r="W8" i="97"/>
  <c r="V8" i="97"/>
  <c r="U8" i="97"/>
  <c r="T8" i="97"/>
  <c r="S8" i="97"/>
  <c r="R8" i="97"/>
  <c r="Q8" i="97"/>
  <c r="P8" i="97"/>
  <c r="O8" i="97"/>
  <c r="N8" i="97"/>
  <c r="M8" i="97"/>
  <c r="L8" i="97"/>
  <c r="K8" i="97"/>
  <c r="J8" i="97"/>
  <c r="I8" i="97"/>
  <c r="H8" i="97"/>
  <c r="G8" i="97"/>
  <c r="F8" i="97"/>
  <c r="E8" i="97"/>
  <c r="D8" i="97"/>
  <c r="C8" i="97"/>
  <c r="B8" i="97"/>
  <c r="A8" i="97"/>
  <c r="Y7" i="97"/>
  <c r="X7" i="97"/>
  <c r="W7" i="97"/>
  <c r="V7" i="97"/>
  <c r="U7" i="97"/>
  <c r="T7" i="97"/>
  <c r="S7" i="97"/>
  <c r="R7" i="97"/>
  <c r="Q7" i="97"/>
  <c r="P7" i="97"/>
  <c r="O7" i="97"/>
  <c r="N7" i="97"/>
  <c r="M7" i="97"/>
  <c r="L7" i="97"/>
  <c r="K7" i="97"/>
  <c r="J7" i="97"/>
  <c r="I7" i="97"/>
  <c r="H7" i="97"/>
  <c r="G7" i="97"/>
  <c r="F7" i="97"/>
  <c r="E7" i="97"/>
  <c r="D7" i="97"/>
  <c r="C7" i="97"/>
  <c r="B7" i="97"/>
  <c r="A7" i="97"/>
  <c r="Y6" i="97"/>
  <c r="X6" i="97"/>
  <c r="W6" i="97"/>
  <c r="V6" i="97"/>
  <c r="U6" i="97"/>
  <c r="T6" i="97"/>
  <c r="S6" i="97"/>
  <c r="R6" i="97"/>
  <c r="Q6" i="97"/>
  <c r="P6" i="97"/>
  <c r="O6" i="97"/>
  <c r="N6" i="97"/>
  <c r="M6" i="97"/>
  <c r="L6" i="97"/>
  <c r="K6" i="97"/>
  <c r="J6" i="97"/>
  <c r="I6" i="97"/>
  <c r="H6" i="97"/>
  <c r="G6" i="97"/>
  <c r="F6" i="97"/>
  <c r="E6" i="97"/>
  <c r="D6" i="97"/>
  <c r="C6" i="97"/>
  <c r="B6" i="97"/>
  <c r="A6" i="97"/>
  <c r="Y5" i="97"/>
  <c r="X5" i="97"/>
  <c r="W5" i="97"/>
  <c r="V5" i="97"/>
  <c r="U5" i="97"/>
  <c r="T5" i="97"/>
  <c r="S5" i="97"/>
  <c r="R5" i="97"/>
  <c r="Q5" i="97"/>
  <c r="P5" i="97"/>
  <c r="O5" i="97"/>
  <c r="N5" i="97"/>
  <c r="M5" i="97"/>
  <c r="L5" i="97"/>
  <c r="K5" i="97"/>
  <c r="J5" i="97"/>
  <c r="I5" i="97"/>
  <c r="H5" i="97"/>
  <c r="G5" i="97"/>
  <c r="F5" i="97"/>
  <c r="E5" i="97"/>
  <c r="D5" i="97"/>
  <c r="C5" i="97"/>
  <c r="B5" i="97"/>
  <c r="A5" i="97"/>
  <c r="C107" i="96"/>
  <c r="I466" i="96"/>
  <c r="F466" i="96"/>
  <c r="C466" i="96"/>
  <c r="B466" i="96"/>
  <c r="C105" i="96"/>
  <c r="C104" i="96"/>
  <c r="C103" i="96"/>
  <c r="C102" i="96"/>
  <c r="C101" i="96"/>
  <c r="C100" i="96"/>
  <c r="C99" i="96"/>
  <c r="C98" i="96"/>
  <c r="H94" i="96"/>
  <c r="F94" i="96"/>
  <c r="E94" i="96"/>
  <c r="C94" i="96"/>
  <c r="B94" i="96"/>
  <c r="N90" i="96"/>
  <c r="N89" i="96"/>
  <c r="N88" i="96"/>
  <c r="N87" i="96"/>
  <c r="N86" i="96"/>
  <c r="N85" i="96"/>
  <c r="N83" i="96"/>
  <c r="N82" i="96"/>
  <c r="A116" i="96"/>
  <c r="G106" i="96" s="1"/>
  <c r="G101" i="96"/>
  <c r="O65" i="96"/>
  <c r="C106" i="96" l="1"/>
  <c r="I465" i="96"/>
  <c r="F465" i="96"/>
  <c r="C465" i="96"/>
  <c r="B465" i="96"/>
  <c r="B464" i="96"/>
  <c r="B454" i="96"/>
  <c r="N395" i="96" l="1"/>
  <c r="M395" i="96"/>
  <c r="L395" i="96"/>
  <c r="K395" i="96"/>
  <c r="J395" i="96"/>
  <c r="I395" i="96"/>
  <c r="H395" i="96"/>
  <c r="G395" i="96"/>
  <c r="F395" i="96"/>
  <c r="E395" i="96"/>
  <c r="D395" i="96"/>
  <c r="C395" i="96"/>
  <c r="B395" i="96"/>
  <c r="M84" i="96" l="1"/>
  <c r="N74" i="96" l="1"/>
  <c r="N73" i="96"/>
  <c r="B89" i="96" l="1"/>
  <c r="P65" i="96"/>
  <c r="M90" i="96" l="1"/>
  <c r="M89" i="96"/>
  <c r="M88" i="96"/>
  <c r="M85" i="96"/>
  <c r="M83" i="96"/>
  <c r="M82" i="96"/>
  <c r="K84" i="96"/>
  <c r="L84" i="96"/>
  <c r="J84" i="96"/>
  <c r="I84" i="96"/>
  <c r="K89" i="96"/>
  <c r="J89" i="96"/>
  <c r="I89" i="96"/>
  <c r="H89" i="96"/>
  <c r="G89" i="96"/>
  <c r="F89" i="96"/>
  <c r="E89" i="96"/>
  <c r="D89" i="96"/>
  <c r="C89" i="96"/>
  <c r="L89" i="96"/>
  <c r="G84" i="96"/>
  <c r="H84" i="96"/>
  <c r="C84" i="96"/>
  <c r="D84" i="96"/>
  <c r="E84" i="96"/>
  <c r="F84" i="96"/>
  <c r="B84" i="96"/>
  <c r="M87" i="96"/>
  <c r="M86" i="96"/>
  <c r="N84" i="96" l="1"/>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K94" i="96" l="1"/>
  <c r="G107" i="96" l="1"/>
  <c r="G105" i="96"/>
  <c r="G104" i="96"/>
  <c r="G103" i="96"/>
  <c r="G102" i="96"/>
  <c r="G100" i="96"/>
  <c r="G99" i="96"/>
  <c r="G98"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F13" i="76" l="1"/>
  <c r="G97" i="96"/>
  <c r="B88" i="96" l="1"/>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S399" i="97"/>
  <c r="AR399" i="97" s="1"/>
  <c r="R399" i="97"/>
  <c r="AQ399" i="97" s="1"/>
  <c r="Q399" i="97"/>
  <c r="P399" i="97"/>
  <c r="O399" i="97"/>
  <c r="N399" i="97"/>
  <c r="M399" i="97"/>
  <c r="L399" i="97"/>
  <c r="K399" i="97"/>
  <c r="J399" i="97"/>
  <c r="AI399" i="97" s="1"/>
  <c r="I399" i="97"/>
  <c r="AH399" i="97" s="1"/>
  <c r="H399" i="97"/>
  <c r="G399" i="97"/>
  <c r="F399" i="97"/>
  <c r="E399" i="97"/>
  <c r="AD399" i="97" s="1"/>
  <c r="D399" i="97"/>
  <c r="AC399" i="97" s="1"/>
  <c r="C399" i="97"/>
  <c r="AB399" i="97" s="1"/>
  <c r="B399" i="97"/>
  <c r="AA399" i="97" s="1"/>
  <c r="Y398" i="97"/>
  <c r="AX398" i="97" s="1"/>
  <c r="X398" i="97"/>
  <c r="AW398" i="97" s="1"/>
  <c r="W398" i="97"/>
  <c r="V398" i="97"/>
  <c r="AU398" i="97" s="1"/>
  <c r="U398" i="97"/>
  <c r="AT398" i="97" s="1"/>
  <c r="T398" i="97"/>
  <c r="AS398" i="97" s="1"/>
  <c r="S398" i="97"/>
  <c r="R398" i="97"/>
  <c r="Q398" i="97"/>
  <c r="AP398" i="97" s="1"/>
  <c r="P398" i="97"/>
  <c r="AO398" i="97" s="1"/>
  <c r="O398" i="97"/>
  <c r="AN398" i="97" s="1"/>
  <c r="N398" i="97"/>
  <c r="AM398" i="97" s="1"/>
  <c r="M398" i="97"/>
  <c r="L398" i="97"/>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T397" i="97"/>
  <c r="S397" i="97"/>
  <c r="R397" i="97"/>
  <c r="Q397" i="97"/>
  <c r="P397" i="97"/>
  <c r="O397" i="97"/>
  <c r="N397" i="97"/>
  <c r="M397" i="97"/>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R396" i="97"/>
  <c r="Q396" i="97"/>
  <c r="P396" i="97"/>
  <c r="O396" i="97"/>
  <c r="N396" i="97"/>
  <c r="M396" i="97"/>
  <c r="L396" i="97"/>
  <c r="AK396" i="97" s="1"/>
  <c r="K396" i="97"/>
  <c r="J396" i="97"/>
  <c r="I396" i="97"/>
  <c r="AH396" i="97" s="1"/>
  <c r="H396" i="97"/>
  <c r="AG396" i="97" s="1"/>
  <c r="G396" i="97"/>
  <c r="F396" i="97"/>
  <c r="E396" i="97"/>
  <c r="AD396" i="97" s="1"/>
  <c r="D396" i="97"/>
  <c r="AC396" i="97" s="1"/>
  <c r="C396" i="97"/>
  <c r="B396" i="97"/>
  <c r="Y395" i="97"/>
  <c r="X395" i="97"/>
  <c r="AW395" i="97" s="1"/>
  <c r="W395" i="97"/>
  <c r="AV395" i="97" s="1"/>
  <c r="V395" i="97"/>
  <c r="U395" i="97"/>
  <c r="AT395" i="97" s="1"/>
  <c r="T395" i="97"/>
  <c r="AS395" i="97" s="1"/>
  <c r="S395" i="97"/>
  <c r="R395" i="97"/>
  <c r="Q395" i="97"/>
  <c r="P395" i="97"/>
  <c r="O395" i="97"/>
  <c r="N395" i="97"/>
  <c r="M395" i="97"/>
  <c r="AL395" i="97" s="1"/>
  <c r="L395" i="97"/>
  <c r="K395" i="97"/>
  <c r="AJ395" i="97" s="1"/>
  <c r="J395" i="97"/>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R393" i="97"/>
  <c r="Q393" i="97"/>
  <c r="P393" i="97"/>
  <c r="O393" i="97"/>
  <c r="N393" i="97"/>
  <c r="M393" i="97"/>
  <c r="L393" i="97"/>
  <c r="K393" i="97"/>
  <c r="J393" i="97"/>
  <c r="AI393" i="97" s="1"/>
  <c r="I393" i="97"/>
  <c r="AH393" i="97" s="1"/>
  <c r="H393" i="97"/>
  <c r="G393" i="97"/>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K392" i="97"/>
  <c r="J392" i="97"/>
  <c r="AI392" i="97" s="1"/>
  <c r="I392" i="97"/>
  <c r="AH392" i="97" s="1"/>
  <c r="H392" i="97"/>
  <c r="AG392" i="97" s="1"/>
  <c r="G392" i="97"/>
  <c r="F392" i="97"/>
  <c r="E392" i="97"/>
  <c r="D392" i="97"/>
  <c r="AC392" i="97" s="1"/>
  <c r="C392" i="97"/>
  <c r="AB392" i="97" s="1"/>
  <c r="B392" i="97"/>
  <c r="AA392" i="97" s="1"/>
  <c r="Y391" i="97"/>
  <c r="AX391" i="97" s="1"/>
  <c r="X391" i="97"/>
  <c r="AW391" i="97" s="1"/>
  <c r="W391" i="97"/>
  <c r="V391" i="97"/>
  <c r="U391" i="97"/>
  <c r="AT391" i="97" s="1"/>
  <c r="T391" i="97"/>
  <c r="S391" i="97"/>
  <c r="R391" i="97"/>
  <c r="Q391" i="97"/>
  <c r="P391" i="97"/>
  <c r="O391" i="97"/>
  <c r="N391" i="97"/>
  <c r="M391" i="97"/>
  <c r="L391" i="97"/>
  <c r="K391" i="97"/>
  <c r="J391" i="97"/>
  <c r="AI391" i="97" s="1"/>
  <c r="I391" i="97"/>
  <c r="AH391" i="97" s="1"/>
  <c r="H391" i="97"/>
  <c r="G391" i="97"/>
  <c r="F391" i="97"/>
  <c r="E391" i="97"/>
  <c r="D391" i="97"/>
  <c r="AC391" i="97" s="1"/>
  <c r="C391" i="97"/>
  <c r="AB391" i="97" s="1"/>
  <c r="B391" i="97"/>
  <c r="AA391" i="97" s="1"/>
  <c r="Y390" i="97"/>
  <c r="AX390" i="97" s="1"/>
  <c r="X390" i="97"/>
  <c r="AW390" i="97" s="1"/>
  <c r="W390" i="97"/>
  <c r="V390" i="97"/>
  <c r="AU390" i="97" s="1"/>
  <c r="U390" i="97"/>
  <c r="T390" i="97"/>
  <c r="S390" i="97"/>
  <c r="R390" i="97"/>
  <c r="Q390" i="97"/>
  <c r="P390" i="97"/>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U387" i="97"/>
  <c r="AT387" i="97" s="1"/>
  <c r="T387" i="97"/>
  <c r="AS387" i="97" s="1"/>
  <c r="S387" i="97"/>
  <c r="R387" i="97"/>
  <c r="Q387" i="97"/>
  <c r="P387" i="97"/>
  <c r="O387" i="97"/>
  <c r="N387" i="97"/>
  <c r="M387" i="97"/>
  <c r="L387" i="97"/>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T386" i="97"/>
  <c r="S386" i="97"/>
  <c r="R386" i="97"/>
  <c r="Q386" i="97"/>
  <c r="AP386" i="97" s="1"/>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Q385" i="97"/>
  <c r="P385" i="97"/>
  <c r="O385" i="97"/>
  <c r="AN385" i="97" s="1"/>
  <c r="N385" i="97"/>
  <c r="M385" i="97"/>
  <c r="AL385" i="97" s="1"/>
  <c r="L385" i="97"/>
  <c r="K385" i="97"/>
  <c r="J385" i="97"/>
  <c r="AI385" i="97" s="1"/>
  <c r="I385" i="97"/>
  <c r="AH385" i="97" s="1"/>
  <c r="H385" i="97"/>
  <c r="G385" i="97"/>
  <c r="AF385" i="97" s="1"/>
  <c r="F385" i="97"/>
  <c r="AE385" i="97" s="1"/>
  <c r="E385" i="97"/>
  <c r="D385" i="97"/>
  <c r="C385" i="97"/>
  <c r="B385" i="97"/>
  <c r="AA385" i="97" s="1"/>
  <c r="Y384" i="97"/>
  <c r="AX384" i="97" s="1"/>
  <c r="X384" i="97"/>
  <c r="AW384" i="97" s="1"/>
  <c r="W384" i="97"/>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I384" i="97"/>
  <c r="H384" i="97"/>
  <c r="G384" i="97"/>
  <c r="F384" i="97"/>
  <c r="E384" i="97"/>
  <c r="D384" i="97"/>
  <c r="C384" i="97"/>
  <c r="B384" i="97"/>
  <c r="Y383" i="97"/>
  <c r="X383" i="97"/>
  <c r="AW383" i="97" s="1"/>
  <c r="W383" i="97"/>
  <c r="AV383" i="97" s="1"/>
  <c r="V383" i="97"/>
  <c r="U383" i="97"/>
  <c r="AT383" i="97" s="1"/>
  <c r="T383" i="97"/>
  <c r="S383" i="97"/>
  <c r="R383" i="97"/>
  <c r="Q383" i="97"/>
  <c r="AP383" i="97" s="1"/>
  <c r="P383" i="97"/>
  <c r="AO383" i="97" s="1"/>
  <c r="O383" i="97"/>
  <c r="N383" i="97"/>
  <c r="M383" i="97"/>
  <c r="AL383" i="97" s="1"/>
  <c r="L383" i="97"/>
  <c r="K383" i="97"/>
  <c r="J383" i="97"/>
  <c r="AI383" i="97" s="1"/>
  <c r="I383" i="97"/>
  <c r="H383" i="97"/>
  <c r="G383" i="97"/>
  <c r="AF383" i="97" s="1"/>
  <c r="F383" i="97"/>
  <c r="E383" i="97"/>
  <c r="D383" i="97"/>
  <c r="C383" i="97"/>
  <c r="B383" i="97"/>
  <c r="AA383" i="97" s="1"/>
  <c r="Y382" i="97"/>
  <c r="AX382" i="97" s="1"/>
  <c r="X382" i="97"/>
  <c r="W382" i="97"/>
  <c r="V382" i="97"/>
  <c r="U382" i="97"/>
  <c r="AT382" i="97" s="1"/>
  <c r="T382" i="97"/>
  <c r="S382" i="97"/>
  <c r="AR382" i="97" s="1"/>
  <c r="R382" i="97"/>
  <c r="Q382" i="97"/>
  <c r="P382" i="97"/>
  <c r="O382" i="97"/>
  <c r="N382" i="97"/>
  <c r="M382" i="97"/>
  <c r="L382" i="97"/>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X381" i="97"/>
  <c r="AW381" i="97" s="1"/>
  <c r="W381" i="97"/>
  <c r="V381" i="97"/>
  <c r="U381" i="97"/>
  <c r="AT381" i="97" s="1"/>
  <c r="T381" i="97"/>
  <c r="S381" i="97"/>
  <c r="AR381" i="97" s="1"/>
  <c r="R381" i="97"/>
  <c r="Q381" i="97"/>
  <c r="P381" i="97"/>
  <c r="O381" i="97"/>
  <c r="N381" i="97"/>
  <c r="M381" i="97"/>
  <c r="L381" i="97"/>
  <c r="K381" i="97"/>
  <c r="AJ381" i="97" s="1"/>
  <c r="J381" i="97"/>
  <c r="AI381" i="97" s="1"/>
  <c r="I381" i="97"/>
  <c r="AH381" i="97" s="1"/>
  <c r="H381" i="97"/>
  <c r="G381" i="97"/>
  <c r="AF381" i="97" s="1"/>
  <c r="F381" i="97"/>
  <c r="AE381" i="97" s="1"/>
  <c r="E381" i="97"/>
  <c r="AD381" i="97" s="1"/>
  <c r="D381" i="97"/>
  <c r="AC381" i="97" s="1"/>
  <c r="C381" i="97"/>
  <c r="B381" i="97"/>
  <c r="Y380" i="97"/>
  <c r="AX380" i="97" s="1"/>
  <c r="X380" i="97"/>
  <c r="AW380" i="97" s="1"/>
  <c r="W380" i="97"/>
  <c r="AV380" i="97" s="1"/>
  <c r="V380" i="97"/>
  <c r="AU380" i="97" s="1"/>
  <c r="U380" i="97"/>
  <c r="T380" i="97"/>
  <c r="S380" i="97"/>
  <c r="R380" i="97"/>
  <c r="AQ380" i="97" s="1"/>
  <c r="Q380" i="97"/>
  <c r="AP380" i="97" s="1"/>
  <c r="P380" i="97"/>
  <c r="AO380" i="97" s="1"/>
  <c r="O380" i="97"/>
  <c r="N380" i="97"/>
  <c r="M380" i="97"/>
  <c r="L380" i="97"/>
  <c r="K380" i="97"/>
  <c r="J380" i="97"/>
  <c r="AI380" i="97" s="1"/>
  <c r="I380" i="97"/>
  <c r="AH380" i="97" s="1"/>
  <c r="H380" i="97"/>
  <c r="G380" i="97"/>
  <c r="AF380" i="97" s="1"/>
  <c r="F380" i="97"/>
  <c r="AE380" i="97" s="1"/>
  <c r="E380" i="97"/>
  <c r="AD380" i="97" s="1"/>
  <c r="D380" i="97"/>
  <c r="AC380" i="97" s="1"/>
  <c r="C380" i="97"/>
  <c r="B380" i="97"/>
  <c r="Y379" i="97"/>
  <c r="AX379" i="97" s="1"/>
  <c r="X379" i="97"/>
  <c r="AW379" i="97" s="1"/>
  <c r="W379" i="97"/>
  <c r="AV379" i="97" s="1"/>
  <c r="V379" i="97"/>
  <c r="U379" i="97"/>
  <c r="AT379" i="97" s="1"/>
  <c r="T379" i="97"/>
  <c r="S379" i="97"/>
  <c r="AR379" i="97" s="1"/>
  <c r="R379" i="97"/>
  <c r="Q379" i="97"/>
  <c r="P379" i="97"/>
  <c r="O379" i="97"/>
  <c r="N379" i="97"/>
  <c r="M379" i="97"/>
  <c r="L379" i="97"/>
  <c r="K379" i="97"/>
  <c r="AJ379" i="97" s="1"/>
  <c r="J379" i="97"/>
  <c r="AI379" i="97" s="1"/>
  <c r="I379" i="97"/>
  <c r="H379" i="97"/>
  <c r="G379" i="97"/>
  <c r="F379" i="97"/>
  <c r="E379" i="97"/>
  <c r="AD379" i="97" s="1"/>
  <c r="D379" i="97"/>
  <c r="AC379" i="97" s="1"/>
  <c r="C379" i="97"/>
  <c r="B379" i="97"/>
  <c r="AA379" i="97" s="1"/>
  <c r="Y378" i="97"/>
  <c r="AX378" i="97" s="1"/>
  <c r="X378" i="97"/>
  <c r="AW378" i="97" s="1"/>
  <c r="W378" i="97"/>
  <c r="AV378" i="97" s="1"/>
  <c r="V378" i="97"/>
  <c r="AU378" i="97" s="1"/>
  <c r="U378" i="97"/>
  <c r="T378" i="97"/>
  <c r="S378" i="97"/>
  <c r="AR378" i="97" s="1"/>
  <c r="R378" i="97"/>
  <c r="AQ378" i="97" s="1"/>
  <c r="Q378" i="97"/>
  <c r="P378" i="97"/>
  <c r="O378" i="97"/>
  <c r="N378" i="97"/>
  <c r="M378" i="97"/>
  <c r="AL378" i="97" s="1"/>
  <c r="L378" i="97"/>
  <c r="AK378" i="97" s="1"/>
  <c r="K378" i="97"/>
  <c r="J378" i="97"/>
  <c r="AI378" i="97" s="1"/>
  <c r="I378" i="97"/>
  <c r="H378" i="97"/>
  <c r="G378" i="97"/>
  <c r="F378" i="97"/>
  <c r="E378" i="97"/>
  <c r="D378" i="97"/>
  <c r="AC378" i="97" s="1"/>
  <c r="C378" i="97"/>
  <c r="AB378" i="97" s="1"/>
  <c r="B378" i="97"/>
  <c r="AA378" i="97" s="1"/>
  <c r="Y377" i="97"/>
  <c r="AX377" i="97" s="1"/>
  <c r="X377" i="97"/>
  <c r="AW377" i="97" s="1"/>
  <c r="W377" i="97"/>
  <c r="AV377" i="97" s="1"/>
  <c r="V377" i="97"/>
  <c r="AU377" i="97" s="1"/>
  <c r="U377" i="97"/>
  <c r="T377" i="97"/>
  <c r="S377" i="97"/>
  <c r="AR377" i="97" s="1"/>
  <c r="R377" i="97"/>
  <c r="AQ377" i="97" s="1"/>
  <c r="Q377" i="97"/>
  <c r="P377" i="97"/>
  <c r="O377" i="97"/>
  <c r="N377" i="97"/>
  <c r="M377" i="97"/>
  <c r="L377" i="97"/>
  <c r="K377" i="97"/>
  <c r="J377" i="97"/>
  <c r="I377" i="97"/>
  <c r="H377" i="97"/>
  <c r="G377" i="97"/>
  <c r="F377" i="97"/>
  <c r="E377" i="97"/>
  <c r="AD377" i="97" s="1"/>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H376" i="97"/>
  <c r="G376" i="97"/>
  <c r="F376" i="97"/>
  <c r="E376" i="97"/>
  <c r="AD376" i="97" s="1"/>
  <c r="D376" i="97"/>
  <c r="C376" i="97"/>
  <c r="B376" i="97"/>
  <c r="AA376" i="97" s="1"/>
  <c r="Y375" i="97"/>
  <c r="AX375" i="97" s="1"/>
  <c r="X375" i="97"/>
  <c r="AW375" i="97" s="1"/>
  <c r="W375" i="97"/>
  <c r="V375" i="97"/>
  <c r="AU375" i="97" s="1"/>
  <c r="U375" i="97"/>
  <c r="T375" i="97"/>
  <c r="S375" i="97"/>
  <c r="R375" i="97"/>
  <c r="AQ375" i="97" s="1"/>
  <c r="Q375" i="97"/>
  <c r="AP375" i="97" s="1"/>
  <c r="P375" i="97"/>
  <c r="AO375" i="97" s="1"/>
  <c r="O375" i="97"/>
  <c r="N375" i="97"/>
  <c r="M375" i="97"/>
  <c r="L375" i="97"/>
  <c r="K375" i="97"/>
  <c r="J375" i="97"/>
  <c r="I375" i="97"/>
  <c r="H375" i="97"/>
  <c r="G375" i="97"/>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R373" i="97"/>
  <c r="Q373" i="97"/>
  <c r="P373" i="97"/>
  <c r="O373" i="97"/>
  <c r="N373" i="97"/>
  <c r="M373" i="97"/>
  <c r="L373" i="97"/>
  <c r="K373" i="97"/>
  <c r="J373" i="97"/>
  <c r="AI373" i="97" s="1"/>
  <c r="I373" i="97"/>
  <c r="H373" i="97"/>
  <c r="G373" i="97"/>
  <c r="F373" i="97"/>
  <c r="E373" i="97"/>
  <c r="D373" i="97"/>
  <c r="AC373" i="97" s="1"/>
  <c r="C373" i="97"/>
  <c r="AB373" i="97" s="1"/>
  <c r="B373" i="97"/>
  <c r="AA373" i="97" s="1"/>
  <c r="Y372" i="97"/>
  <c r="X372" i="97"/>
  <c r="AW372" i="97" s="1"/>
  <c r="W372" i="97"/>
  <c r="V372" i="97"/>
  <c r="AU372" i="97" s="1"/>
  <c r="U372" i="97"/>
  <c r="AT372" i="97" s="1"/>
  <c r="T372" i="97"/>
  <c r="S372" i="97"/>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Y371" i="97"/>
  <c r="AX371" i="97" s="1"/>
  <c r="X371" i="97"/>
  <c r="AW371" i="97" s="1"/>
  <c r="W371" i="97"/>
  <c r="V371" i="97"/>
  <c r="U371" i="97"/>
  <c r="T371" i="97"/>
  <c r="S371" i="97"/>
  <c r="R371" i="97"/>
  <c r="Q371" i="97"/>
  <c r="P371" i="97"/>
  <c r="O371" i="97"/>
  <c r="N371" i="97"/>
  <c r="M371" i="97"/>
  <c r="AL371" i="97" s="1"/>
  <c r="L371" i="97"/>
  <c r="AK371" i="97" s="1"/>
  <c r="K371" i="97"/>
  <c r="J371" i="97"/>
  <c r="I371" i="97"/>
  <c r="AH371" i="97" s="1"/>
  <c r="H371" i="97"/>
  <c r="G371" i="97"/>
  <c r="F371" i="97"/>
  <c r="AE371" i="97" s="1"/>
  <c r="E371" i="97"/>
  <c r="AD371" i="97" s="1"/>
  <c r="D371" i="97"/>
  <c r="AC371" i="97" s="1"/>
  <c r="C371" i="97"/>
  <c r="B371" i="97"/>
  <c r="Y370" i="97"/>
  <c r="AX370" i="97" s="1"/>
  <c r="X370" i="97"/>
  <c r="AW370" i="97" s="1"/>
  <c r="W370" i="97"/>
  <c r="V370" i="97"/>
  <c r="AU370" i="97" s="1"/>
  <c r="U370" i="97"/>
  <c r="AT370" i="97" s="1"/>
  <c r="T370" i="97"/>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D370" i="97"/>
  <c r="AC370" i="97" s="1"/>
  <c r="C370" i="97"/>
  <c r="AB370" i="97" s="1"/>
  <c r="B370" i="97"/>
  <c r="AA370" i="97" s="1"/>
  <c r="Y369" i="97"/>
  <c r="AX369" i="97" s="1"/>
  <c r="X369" i="97"/>
  <c r="AW369" i="97" s="1"/>
  <c r="W369" i="97"/>
  <c r="V369" i="97"/>
  <c r="AU369" i="97" s="1"/>
  <c r="U369" i="97"/>
  <c r="T369" i="97"/>
  <c r="AS369" i="97" s="1"/>
  <c r="S369" i="97"/>
  <c r="AR369" i="97" s="1"/>
  <c r="R369" i="97"/>
  <c r="AQ369" i="97" s="1"/>
  <c r="Q369" i="97"/>
  <c r="P369" i="97"/>
  <c r="O369" i="97"/>
  <c r="N369" i="97"/>
  <c r="AM369" i="97" s="1"/>
  <c r="M369" i="97"/>
  <c r="L369" i="97"/>
  <c r="K369" i="97"/>
  <c r="J369" i="97"/>
  <c r="I369" i="97"/>
  <c r="AH369" i="97" s="1"/>
  <c r="H369" i="97"/>
  <c r="AG369" i="97" s="1"/>
  <c r="G369" i="97"/>
  <c r="F369" i="97"/>
  <c r="AE369" i="97" s="1"/>
  <c r="E369" i="97"/>
  <c r="D369" i="97"/>
  <c r="C369" i="97"/>
  <c r="AB369" i="97" s="1"/>
  <c r="B369" i="97"/>
  <c r="AD370" i="97" l="1"/>
  <c r="AT371" i="97"/>
  <c r="AS370" i="97"/>
  <c r="AN380" i="97"/>
  <c r="AB383" i="97"/>
  <c r="AB385" i="97"/>
  <c r="AN393" i="97"/>
  <c r="AO381" i="97"/>
  <c r="AC383" i="97"/>
  <c r="AC385" i="97"/>
  <c r="AO385" i="97"/>
  <c r="AO390" i="97"/>
  <c r="AO393" i="97"/>
  <c r="AD378" i="97"/>
  <c r="AP381" i="97"/>
  <c r="AD383" i="97"/>
  <c r="AD384" i="97"/>
  <c r="AD385" i="97"/>
  <c r="AP385" i="97"/>
  <c r="AP390" i="97"/>
  <c r="AD391" i="97"/>
  <c r="AD392" i="97"/>
  <c r="AM393" i="97"/>
  <c r="AA384" i="97"/>
  <c r="AM377" i="97"/>
  <c r="AR390" i="97"/>
  <c r="AF391" i="97"/>
  <c r="AQ382" i="97"/>
  <c r="AQ390" i="97"/>
  <c r="AQ379" i="97"/>
  <c r="AQ385" i="97"/>
  <c r="AQ396" i="97"/>
  <c r="AE378" i="97"/>
  <c r="AQ381" i="97"/>
  <c r="AE383" i="97"/>
  <c r="AE391" i="97"/>
  <c r="AS371" i="97"/>
  <c r="AS378" i="97"/>
  <c r="AG383" i="97"/>
  <c r="AG385" i="97"/>
  <c r="AG391" i="97"/>
  <c r="AS397" i="97"/>
  <c r="AT390" i="97"/>
  <c r="AT369" i="97"/>
  <c r="AU383" i="97"/>
  <c r="AU382" i="97"/>
  <c r="AJ369" i="97"/>
  <c r="AJ383" i="97"/>
  <c r="AJ385" i="97"/>
  <c r="AK381" i="97"/>
  <c r="AK393" i="97"/>
  <c r="AK398" i="97"/>
  <c r="AU391" i="97"/>
  <c r="AJ371" i="97"/>
  <c r="AV384" i="97"/>
  <c r="AJ391" i="97"/>
  <c r="AJ392" i="97"/>
  <c r="AK392" i="97"/>
  <c r="AL377" i="97"/>
  <c r="AL381" i="97"/>
  <c r="AL393" i="97"/>
  <c r="AL397" i="97"/>
  <c r="AA396" i="97"/>
  <c r="AA371" i="97"/>
  <c r="AA372" i="97"/>
  <c r="AM379" i="97"/>
  <c r="AA380" i="97"/>
  <c r="AA381" i="97"/>
  <c r="AM381" i="97"/>
  <c r="AM383" i="97"/>
  <c r="AM385" i="97"/>
  <c r="AB371" i="97"/>
  <c r="AN375" i="97"/>
  <c r="AB379" i="97"/>
  <c r="AB380" i="97"/>
  <c r="AB381" i="97"/>
  <c r="AN381" i="97"/>
  <c r="AN383" i="97"/>
  <c r="AB396" i="97"/>
  <c r="AR383" i="97"/>
  <c r="AR387" i="97"/>
  <c r="AR393" i="97"/>
  <c r="AR398" i="97"/>
  <c r="AQ393" i="97"/>
  <c r="AQ398" i="97"/>
  <c r="AG380" i="97"/>
  <c r="AS382" i="97"/>
  <c r="AS399" i="97"/>
  <c r="AT375" i="97"/>
  <c r="AH376" i="97"/>
  <c r="AT377" i="97"/>
  <c r="AH379" i="97"/>
  <c r="AT380" i="97"/>
  <c r="AH383" i="97"/>
  <c r="AH384" i="97"/>
  <c r="AT386" i="97"/>
  <c r="AT397" i="97"/>
  <c r="AG379" i="97"/>
  <c r="AU395" i="97"/>
  <c r="AI384" i="97"/>
  <c r="AV398" i="97"/>
  <c r="AG371" i="97"/>
  <c r="AG381" i="97"/>
  <c r="AG384" i="97"/>
  <c r="AI371" i="97"/>
  <c r="AU379" i="97"/>
  <c r="AU381" i="97"/>
  <c r="AU387" i="97"/>
  <c r="AI395" i="97"/>
  <c r="AV369" i="97"/>
  <c r="AV372" i="97"/>
  <c r="AJ380" i="97"/>
  <c r="AV382" i="97"/>
  <c r="AJ396" i="97"/>
  <c r="AJ399" i="97"/>
  <c r="AK382" i="97"/>
  <c r="AW382" i="97"/>
  <c r="AK387" i="97"/>
  <c r="AK399" i="97"/>
  <c r="AL374" i="97"/>
  <c r="AL379" i="97"/>
  <c r="AX381" i="97"/>
  <c r="AL387" i="97"/>
  <c r="AX395" i="97"/>
  <c r="AL399" i="97"/>
  <c r="AR371" i="97"/>
  <c r="AR372" i="97"/>
  <c r="AF373" i="97"/>
  <c r="AR373" i="97"/>
  <c r="AF375" i="97"/>
  <c r="AR375" i="97"/>
  <c r="AF376" i="97"/>
  <c r="AR380" i="97"/>
  <c r="AF384" i="97"/>
  <c r="AR386" i="97"/>
  <c r="AR391" i="97"/>
  <c r="AF393" i="97"/>
  <c r="AR395" i="97"/>
  <c r="AR396" i="97"/>
  <c r="AR397" i="97"/>
  <c r="AM371" i="97"/>
  <c r="AM372" i="97"/>
  <c r="AM373" i="97"/>
  <c r="AA374" i="97"/>
  <c r="AM375" i="97"/>
  <c r="AM376" i="97"/>
  <c r="AA377" i="97"/>
  <c r="AM380" i="97"/>
  <c r="AM382" i="97"/>
  <c r="AM388" i="97"/>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W387" i="97"/>
  <c r="AK389" i="97"/>
  <c r="AK391" i="97"/>
  <c r="AL372" i="97"/>
  <c r="AX373" i="97"/>
  <c r="AL375" i="97"/>
  <c r="AL376" i="97"/>
  <c r="AX376" i="97"/>
  <c r="AL380" i="97"/>
  <c r="AL382" i="97"/>
  <c r="AL386" i="97"/>
  <c r="AX387" i="97"/>
  <c r="AL391" i="97"/>
  <c r="AL396" i="97"/>
  <c r="AL398" i="97"/>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98" i="97" l="1"/>
  <c r="BN35" i="97" s="1"/>
  <c r="AY380" i="97"/>
  <c r="BN17" i="97" s="1"/>
  <c r="AY385" i="97"/>
  <c r="BN22" i="97" s="1"/>
  <c r="AY388" i="97"/>
  <c r="BN25" i="97" s="1"/>
  <c r="AY384" i="97"/>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E454" i="96"/>
  <c r="F464" i="96"/>
  <c r="C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Q298" i="96" l="1"/>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298" i="96" l="1"/>
  <c r="P279" i="96"/>
  <c r="Q235" i="96"/>
  <c r="P235" i="96"/>
  <c r="P216" i="96"/>
  <c r="I121" i="96" l="1"/>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<sst xmlns="http://schemas.openxmlformats.org/spreadsheetml/2006/main" count="1618" uniqueCount="345">
  <si>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</si>
  <si>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</si>
  <si>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</si>
  <si>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</si>
  <si>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</si>
  <si>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</si>
  <si>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</si>
  <si>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</si>
  <si>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</si>
  <si>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</si>
  <si>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</si>
  <si>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</si>
  <si>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</si>
  <si>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</si>
  <si>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</si>
  <si>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</si>
  <si>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</si>
  <si>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</si>
  <si>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</si>
  <si>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</si>
  <si>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</si>
  <si>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</si>
  <si>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</si>
  <si>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</si>
  <si>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</si>
  <si>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</si>
  <si>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</si>
  <si>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</si>
  <si>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</si>
  <si>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</si>
  <si>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</si>
  <si>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</si>
  <si>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</si>
  <si>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</si>
  <si>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</si>
  <si>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</si>
  <si>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</si>
  <si>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</si>
  <si>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</si>
  <si>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</si>
  <si>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</si>
  <si>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</si>
  <si>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</si>
  <si>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</si>
  <si>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</si>
  <si>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</si>
  <si>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</si>
  <si>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</si>
  <si>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</si>
  <si>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</si>
  <si>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</si>
  <si>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</si>
  <si>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</si>
  <si>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</si>
  <si>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</si>
  <si>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</si>
  <si>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</si>
  <si>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</si>
  <si>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</si>
  <si>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</si>
  <si>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</si>
  <si>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</si>
  <si>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</si>
  <si>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</si>
  <si>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</si>
  <si>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</si>
  <si>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</si>
  <si>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</si>
  <si>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</si>
  <si>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</si>
  <si>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</si>
  <si>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</si>
  <si>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</si>
  <si>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</si>
  <si>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</si>
  <si>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</si>
  <si>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</si>
  <si>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</si>
  <si>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</si>
  <si>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</si>
  <si>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</si>
  <si>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</si>
  <si>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</si>
  <si>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</si>
  <si>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</si>
  <si>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</si>
  <si>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</si>
  <si>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</si>
  <si>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</si>
  <si>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</si>
  <si>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</si>
  <si>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</si>
  <si>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</si>
  <si>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</si>
  <si>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</si>
  <si>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</si>
  <si>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</si>
  <si>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</si>
  <si>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</si>
  <si>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</si>
  <si>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</si>
  <si>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</si>
  <si>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</si>
  <si>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</si>
  <si>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</si>
  <si>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</si>
  <si>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</si>
  <si>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</si>
  <si>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</si>
  <si>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</si>
  <si>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</si>
  <si>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</si>
  <si>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</si>
  <si>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</si>
  <si>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</si>
  <si>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</si>
  <si>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</si>
  <si>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</si>
  <si>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</si>
  <si>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</si>
  <si>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</si>
  <si>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</si>
  <si>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</si>
  <si>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</si>
  <si>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</si>
  <si>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</si>
  <si>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</si>
  <si>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</si>
  <si>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</si>
  <si>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</si>
  <si>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</si>
  <si>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</si>
  <si>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</si>
  <si>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</si>
  <si>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</si>
  <si>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</si>
  <si>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</si>
  <si>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</si>
  <si>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</si>
  <si>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</si>
  <si>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</si>
  <si>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</si>
  <si>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</si>
  <si>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</si>
  <si>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</si>
  <si>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</si>
  <si>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</si>
  <si>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</si>
  <si>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</si>
  <si>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</si>
  <si>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</si>
  <si>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</si>
  <si>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</si>
  <si>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</si>
  <si>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</si>
  <si>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</si>
  <si>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</si>
  <si>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</si>
  <si>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</si>
  <si>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</si>
  <si>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</si>
  <si>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</si>
  <si>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</si>
  <si>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</si>
  <si>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</si>
  <si>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</si>
  <si>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</si>
  <si>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</si>
  <si>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</si>
  <si>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</si>
  <si>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</si>
  <si>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</si>
  <si>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</si>
  <si>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</si>
  <si>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</si>
  <si>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</si>
  <si>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</si>
  <si>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</si>
  <si>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</si>
  <si>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</si>
  <si>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</si>
  <si>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</si>
  <si>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</si>
  <si>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</si>
  <si>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</si>
  <si>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</si>
  <si>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</si>
  <si>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</si>
  <si>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</si>
  <si>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</si>
  <si>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</si>
  <si>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</si>
  <si>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</si>
  <si>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</si>
  <si>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</si>
  <si>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</si>
  <si>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</si>
  <si>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</si>
  <si>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</si>
  <si>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</si>
  <si>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</si>
  <si>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</si>
  <si>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</si>
  <si>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</si>
  <si>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</si>
  <si>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</si>
  <si>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</si>
  <si>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</si>
  <si>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</si>
  <si>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</si>
  <si>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</si>
  <si>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</si>
  <si>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</si>
  <si>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</si>
  <si>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</si>
  <si>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</si>
  <si>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</si>
  <si>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</si>
  <si>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</si>
  <si>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</si>
  <si>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</si>
  <si>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</si>
  <si>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</si>
  <si>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</si>
  <si>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</si>
  <si>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</si>
  <si>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</si>
  <si>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</si>
  <si>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</si>
  <si>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</si>
  <si>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</si>
  <si>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</si>
  <si>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</si>
  <si>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</si>
  <si>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</si>
  <si>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</si>
  <si>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</si>
  <si>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</si>
  <si>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</si>
  <si>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</si>
  <si>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</si>
  <si>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</si>
  <si>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</si>
  <si>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</si>
  <si>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</si>
  <si>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</si>
  <si>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Servicio RAD</t>
  </si>
  <si>
    <t>(*) RAD (Respuesta Activa de la Demanda)</t>
  </si>
  <si>
    <t>Promedio</t>
  </si>
  <si>
    <t>Secundaria utilizada en GWh</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</si>
  <si>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</si>
  <si>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</si>
  <si>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</si>
  <si>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</si>
  <si>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</si>
  <si>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</si>
  <si>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</si>
  <si>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</si>
  <si>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</si>
  <si>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</si>
  <si>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</si>
  <si>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</si>
  <si>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</si>
  <si>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2024 Enero</t>
  </si>
  <si>
    <t>ENE-24</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</si>
  <si>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</si>
  <si>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</si>
  <si>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</si>
  <si>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</si>
  <si>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</si>
  <si>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</si>
  <si>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</si>
  <si>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</si>
  <si>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</si>
  <si>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</si>
  <si>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ABR-24</t>
  </si>
  <si>
    <t>2024 Mayo</t>
  </si>
  <si>
    <t>MAY-24</t>
  </si>
  <si>
    <t>2024 Junio</t>
  </si>
  <si>
    <t>JUN-24</t>
  </si>
  <si>
    <t>2024 Julio</t>
  </si>
  <si>
    <t>JUL-24</t>
  </si>
  <si>
    <t>2024 Agosto</t>
  </si>
  <si>
    <t>AGO-24</t>
  </si>
  <si>
    <t>2024 Septiembre</t>
  </si>
  <si>
    <t>Ingreso control de tensión</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</si>
  <si>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ut="10/11/2024 12:02:08"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msgID="A251BF2411EF87C89A360080EF451199"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nrr="88" nrc="559"&gt;&lt;pg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</si>
  <si>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ut="10/11/2024 12:17:50"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msgID="634198A411EF87C89A360080EF858F96"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rows="41" cols="15" /&gt;&lt;esdo ews="" ece="" ptn="" /&gt;&lt;/excel&gt;&lt;pgs&gt;&lt;pg rows="38" cols="13" nrr="1413" nrc="546"&gt;&lt;pg /&gt;&lt;bls&gt;&lt;bl sr="1" sc="1" rfetch="38" cfetch="13" posid="1" darows="0" dacols="1"&gt;&lt;excel&gt;&lt;epo ews="Dat_01" ece="A258" enr="MSTR.Asignaciones_SEPE_Periodo_simple_"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</si>
  <si>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</si>
  <si>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</si>
  <si>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SEP-24</t>
  </si>
  <si>
    <t>2024 Octubre</t>
  </si>
  <si>
    <t>OCT-24</t>
  </si>
  <si>
    <t>NOV-24</t>
  </si>
  <si>
    <t>2024 Noviembre</t>
  </si>
  <si>
    <t>Reserva de regulación secundaria</t>
  </si>
  <si>
    <t>2024 Diciembre</t>
  </si>
  <si>
    <t>Reserva de regulación</t>
  </si>
  <si>
    <t>DIC-24</t>
  </si>
  <si>
    <t xml:space="preserve">Banda Secundaria </t>
  </si>
  <si>
    <t>01/01/2025</t>
  </si>
  <si>
    <t>02/01/2025</t>
  </si>
  <si>
    <t>03/01/2025</t>
  </si>
  <si>
    <t>04/01/2025</t>
  </si>
  <si>
    <t>05/01/2025</t>
  </si>
  <si>
    <t>06/01/2025</t>
  </si>
  <si>
    <t>07/01/2025</t>
  </si>
  <si>
    <t>08/01/2025</t>
  </si>
  <si>
    <t>09/01/2025</t>
  </si>
  <si>
    <t>10/01/2025</t>
  </si>
  <si>
    <t>11/01/2025</t>
  </si>
  <si>
    <t>12/01/2025</t>
  </si>
  <si>
    <t>13/01/2025</t>
  </si>
  <si>
    <t>14/01/2025</t>
  </si>
  <si>
    <t>15/01/2025</t>
  </si>
  <si>
    <t>16/01/2025</t>
  </si>
  <si>
    <t>17/01/2025</t>
  </si>
  <si>
    <t>18/01/2025</t>
  </si>
  <si>
    <t>19/01/2025</t>
  </si>
  <si>
    <t>20/01/2025</t>
  </si>
  <si>
    <t>21/01/2025</t>
  </si>
  <si>
    <t>22/01/2025</t>
  </si>
  <si>
    <t>23/01/2025</t>
  </si>
  <si>
    <t>24/01/2025</t>
  </si>
  <si>
    <t>25/01/2025</t>
  </si>
  <si>
    <t>26/01/2025</t>
  </si>
  <si>
    <t>27/01/2025</t>
  </si>
  <si>
    <t>28/01/2025</t>
  </si>
  <si>
    <t>29/01/2025</t>
  </si>
  <si>
    <t>30/01/2025</t>
  </si>
  <si>
    <t>31/01/2025</t>
  </si>
  <si>
    <t>2025 Enero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</si>
  <si>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ut="02/11/2025 18:17:14" si="2.00000001c3599615291301f84ea2abd15092b05f8d421518c23a829710eebdb740f4f636e22c93a698b26d6584f4f67b5750b7e0c111866b68bd3b18b54503118fdb7b05e402a031a2984dc1acff6aa87fc5f776135a8ff6f1f616711d6ad13a0b97b1b70460ebc5cafb783863a0a8e82cde35d3ff3ec2f7f975ba23dbe607225c2292452e2c65dafdc1f4246d487b21d296e1de3497a887decb27bf482c38a0f038.p.3082.0.1.Europe/Madrid.upriv*_1*_pidn2*_13*_session*-lat*_1.000000012f95d7c19fa354d85f10d1ea64417fbc31cdd82ec95a99a0766e2b761a9be9b415160276e323e6bf9d9315b33046789d68f680ab.00000001ede9e9c479d56e237448b9fcfe5d3a1031cdd82eb1de280cbe6579cac6b4ac7e610cb7046750df5eb4cef4e6b164b4ed8f315312.0.1.1.SIOSbi.A04572404A6ABF2446090B938515E87E.0-3082.1.1_-0.1.0_-3082.1.1_5.5.0.*0.000000016f56f18c42d054e1bf8790dd12233c68c911585a1c9fd7bcd6d9dd5e69f8dcc681ec2515.0.23.11*.2*.0400*.31152J.e.00000001995583fb3042579f41d3a746485ffbd1c911585a6c22dd6ec68464b5203af29d07dc228d.0.10*.131*.122*.122.0.0" msgID="66F1A45C11EFE8A4FD130080EF856A10"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cols="29" /&gt;&lt;esdo ews="" ece="" ptn="" /&gt;&lt;/excel&gt;&lt;pgs&gt;&lt;pg rows="31" cols="27" nrr="3170" nrc="3167"&gt;&lt;pg /&gt;&lt;bls&gt;&lt;bl sr="1" sc="1" rfetch="31" cfetch="27" posid="1" darows="0" dacols="1"&gt;&lt;excel&gt;&lt;epo ews="Dat_01" ece="$A$4" enr="MSTR.Precio_Mercado_Diario" ptn="" qtn="" rows="35" cols="29" /&gt;&lt;esdo ews="" ece="" ptn="" /&gt;&lt;/excel&gt;&lt;shapes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</si>
  <si>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ut="02/11/2025 18:22:01" si="2.00000001c3599615291301f84ea2abd15092b05f8d421518c23a829710eebdb740f4f636e22c93a698b26d6584f4f67b5750b7e0c111866b68bd3b18b54503118fdb7b05e402a031a2984dc1acff6aa87fc5f776135a8ff6f1f616711d6ad13a0b97b1b70460ebc5cafb783863a0a8e82cde35d3ff3ec2f7f975ba23dbe607225c2292452e2c65dafdc1f4246d487b21d296e1de3497a887decb27bf482c38a0f038.p.3082.0.1.Europe/Madrid.upriv*_1*_pidn2*_13*_session*-lat*_1.000000012f95d7c19fa354d85f10d1ea64417fbc31cdd82ec95a99a0766e2b761a9be9b415160276e323e6bf9d9315b33046789d68f680ab.00000001ede9e9c479d56e237448b9fcfe5d3a1031cdd82eb1de280cbe6579cac6b4ac7e610cb7046750df5eb4cef4e6b164b4ed8f315312.0.1.1.SIOSbi.A04572404A6ABF2446090B938515E87E.0-3082.1.1_-0.1.0_-3082.1.1_5.5.0.*0.000000016f56f18c42d054e1bf8790dd12233c68c911585a1c9fd7bcd6d9dd5e69f8dcc681ec2515.0.23.11*.2*.0400*.31152J.e.00000001995583fb3042579f41d3a746485ffbd1c911585a6c22dd6ec68464b5203af29d07dc228d.0.10*.131*.122*.122.0.0" msgID="F7060AD811EFE8A4FD130080EFC5EC13"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nrr="2472" nrc="1612"&gt;&lt;pg /&gt;&lt;bls&gt;&lt;bl sr="1" sc="1" rfetch="26" cfetch="13" posid="1" darows="0" dacols="1"&gt;&lt;excel&gt;&lt;epo ews="Dat_01" ece="$A$41" enr="MSTR.Precio_medio_final_Mensual_estatico_ultimo_año_movil" ptn="" qtn="" rows="30" cols="14" /&gt;&lt;esdo ews="" ece="" ptn="" /&gt;&lt;/excel&gt;&lt;shapes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</si>
  <si>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ut="02/11/2025 18:30:02" si="2.00000001c3599615291301f84ea2abd15092b05f8d421518c23a829710eebdb740f4f636e22c93a698b26d6584f4f67b5750b7e0c111866b68bd3b18b54503118fdb7b05e402a031a2984dc1acff6aa87fc5f776135a8ff6f1f616711d6ad13a0b97b1b70460ebc5cafb783863a0a8e82cde35d3ff3ec2f7f975ba23dbe607225c2292452e2c65dafdc1f4246d487b21d296e1de3497a887decb27bf482c38a0f038.p.3082.0.1.Europe/Madrid.upriv*_1*_pidn2*_13*_session*-lat*_1.000000012f95d7c19fa354d85f10d1ea64417fbc31cdd82ec95a99a0766e2b761a9be9b415160276e323e6bf9d9315b33046789d68f680ab.00000001ede9e9c479d56e237448b9fcfe5d3a1031cdd82eb1de280cbe6579cac6b4ac7e610cb7046750df5eb4cef4e6b164b4ed8f315312.0.1.1.SIOSbi.A04572404A6ABF2446090B938515E87E.0-3082.1.1_-0.1.0_-3082.1.1_5.5.0.*0.000000016f56f18c42d054e1bf8790dd12233c68c911585a1c9fd7bcd6d9dd5e69f8dcc681ec2515.0.23.11*.2*.0400*.31152J.e.00000001995583fb3042579f41d3a746485ffbd1c911585a6c22dd6ec68464b5203af29d07dc228d.0.10*.131*.122*.122.0.0" msgID="2923263011EFE8A6FD130080EFF54B11"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nrr="487" nrc="210"&gt;&lt;pg /&gt;&lt;bls&gt;&lt;bl sr="1" sc="1" rfetch="4" cfetch="2" posid="1" darows="0" dacols="1"&gt;&lt;excel&gt;&lt;epo ews="Dat_01" ece="$A$118" enr="MSTR.Mercados_de_Operacion._Energía_Gestionada" ptn="" qtn="" rows="7" cols="3" /&gt;&lt;esdo ews="" ece="" ptn="" /&gt;&lt;/excel&gt;&lt;shapes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</si>
  <si>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ut="02/12/2025 17:36:21"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msgID="D64D464411EFE967123E0080EF059A38"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rows="45" cols="15" /&gt;&lt;esdo ews="" ece="" ptn="" /&gt;&lt;/excel&gt;&lt;pgs&gt;&lt;pg rows="42" cols="13" nrr="2431" nrc="1352"&gt;&lt;pg /&gt;&lt;bls&gt;&lt;bl sr="1" sc="1" rfetch="42" cfetch="13" posid="1" darows="0" dacols="1"&gt;&lt;excel&gt;&lt;epo ews="Dat_01" ece="A131" enr="MSTR.Energía_restricciones_técnicas_PDBF_por_combustible"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</si>
  <si>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ut="02/12/2025 17:48:15"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msgID="814CB45D11EFE969123E0080EF859A39"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nrr="98" nrc="624"&gt;&lt;pg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</si>
  <si>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ut="02/12/2025 17:55:04"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msgID="816B6A6F11EFE969123E0080EFA5D937"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nrr="84" nrc="546"&gt;&lt;pg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</si>
  <si>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ut="02/12/2025 18:45:35"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msgID="83DCCC1911EFE971123E0080EF451A38"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nrr="480" nrc="764"&gt;&lt;pg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</si>
  <si>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ut="02/12/2025 19:14:56"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msgID="A32D67D611EFE975123E0080EF25D936"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nrr="90" nrc="585"&gt;&lt;pg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</si>
  <si>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ut="02/12/2025 19:21:00"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msgID="37CB917411EFE976123E0080EFD53A37"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nrr="160" nrc="520"&gt;&lt;pg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</si>
  <si>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24883d9f96694fdea4386ca784dbf2b2</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</si>
  <si>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ut="02/12/2025 19:23:50"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msgID="37C507C811EFE976123E0080EFE55935"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nrr="344" nrc="559"&gt;&lt;pg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</si>
  <si>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Precio Medio Ponderado (€/MWh) según Medidas toda la energía Y PROGRAMA PARA TREAL BAJAR</t>
  </si>
  <si>
    <t>ENE-25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</si>
</sst>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85">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
      <b/>
      <sz val="10"/>
      <color theme="0"/>
      <name val="Geneva"/>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000"/>
        <bgColor rgb="FFFFFFFF"/>
      </patternFill>
    </fill>
  </fills>
  <borders count="28">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1">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1" fillId="0" borderId="0" applyNumberFormat="0" applyFill="0" applyBorder="0" applyAlignment="0" applyProtection="0"/>
    <xf numFmtId="0" fontId="72" fillId="0" borderId="0"/>
    <xf numFmtId="0" fontId="78" fillId="0" borderId="0"/>
    <xf numFmtId="0" fontId="8" fillId="0" borderId="0"/>
    <xf numFmtId="0" fontId="7" fillId="0" borderId="0"/>
    <xf numFmtId="43" fontId="26" fillId="0" borderId="0" applyFont="0" applyFill="0" applyBorder="0" applyAlignment="0" applyProtection="0"/>
    <xf numFmtId="4" fontId="28" fillId="11" borderId="2">
      <alignment horizontal="right" vertical="center"/>
    </xf>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cellStyleXfs>
  <cellXfs count="276">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166" fontId="32" fillId="5" borderId="0" xfId="0" applyNumberFormat="1" applyFont="1" applyFill="1" applyAlignment="1">
      <alignment horizontal="right" vertical="center"/>
    </xf>
    <xf numFmtId="49" fontId="32" fillId="5" borderId="5" xfId="0" applyNumberFormat="1" applyFont="1" applyFill="1" applyBorder="1"/>
    <xf numFmtId="166" fontId="32" fillId="5" borderId="5" xfId="0" applyNumberFormat="1" applyFont="1" applyFill="1" applyBorder="1" applyAlignment="1">
      <alignment horizontal="right" vertical="center"/>
    </xf>
    <xf numFmtId="166" fontId="32" fillId="5" borderId="0" xfId="0" applyNumberFormat="1" applyFont="1" applyFill="1"/>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0" fontId="32" fillId="5" borderId="0" xfId="0" applyFont="1" applyFill="1" applyAlignment="1">
      <alignment horizontal="center"/>
    </xf>
    <xf numFmtId="0" fontId="32" fillId="5" borderId="5" xfId="0" applyFont="1" applyFill="1" applyBorder="1" applyAlignment="1">
      <alignment horizont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17" fillId="0" borderId="0" xfId="4" applyAlignment="1">
      <alignment horizontal="center" vertical="center"/>
    </xf>
    <xf numFmtId="0" fontId="17" fillId="0" borderId="0" xfId="4" applyAlignment="1">
      <alignment horizontal="center"/>
    </xf>
    <xf numFmtId="0" fontId="17" fillId="0" borderId="16" xfId="4" applyBorder="1"/>
    <xf numFmtId="0" fontId="18" fillId="0" borderId="16" xfId="16" applyFont="1" applyBorder="1"/>
    <xf numFmtId="2" fontId="18" fillId="0" borderId="16" xfId="16" applyNumberFormat="1" applyFont="1" applyBorder="1"/>
    <xf numFmtId="2" fontId="18" fillId="16" borderId="16" xfId="16" applyNumberFormat="1" applyFont="1" applyFill="1" applyBorder="1" applyAlignment="1">
      <alignment horizontal="center"/>
    </xf>
    <xf numFmtId="2" fontId="18" fillId="0" borderId="16" xfId="16" applyNumberFormat="1" applyFont="1" applyBorder="1" applyAlignment="1">
      <alignment horizontal="center"/>
    </xf>
    <xf numFmtId="1" fontId="65" fillId="0" borderId="16" xfId="16" applyNumberFormat="1" applyFont="1" applyBorder="1"/>
    <xf numFmtId="2" fontId="18" fillId="0" borderId="0" xfId="16" applyNumberFormat="1" applyFont="1" applyAlignment="1">
      <alignment horizontal="center"/>
    </xf>
    <xf numFmtId="1" fontId="65" fillId="0" borderId="0" xfId="16" applyNumberFormat="1" applyFont="1"/>
    <xf numFmtId="0" fontId="66" fillId="0" borderId="0" xfId="0" applyFont="1"/>
    <xf numFmtId="0" fontId="48" fillId="4" borderId="0" xfId="31" applyFont="1" applyFill="1"/>
    <xf numFmtId="0" fontId="67" fillId="0" borderId="0" xfId="0" applyFont="1"/>
    <xf numFmtId="0" fontId="37" fillId="0" borderId="0" xfId="4" applyFont="1" applyAlignment="1">
      <alignment horizontal="center" vertical="center"/>
    </xf>
    <xf numFmtId="0" fontId="37" fillId="17" borderId="0" xfId="4" applyFont="1" applyFill="1" applyAlignment="1">
      <alignment horizontal="center" vertical="center"/>
    </xf>
    <xf numFmtId="0" fontId="68" fillId="18" borderId="0" xfId="0" applyFont="1" applyFill="1"/>
    <xf numFmtId="0" fontId="65" fillId="15" borderId="16" xfId="48" applyFont="1" applyFill="1" applyBorder="1" applyAlignment="1">
      <alignment horizontal="center" vertical="center" wrapText="1"/>
    </xf>
    <xf numFmtId="2" fontId="65" fillId="19" borderId="16" xfId="16" applyNumberFormat="1" applyFont="1" applyFill="1" applyBorder="1" applyAlignment="1">
      <alignment horizontal="center"/>
    </xf>
    <xf numFmtId="2" fontId="18" fillId="15" borderId="16" xfId="16" applyNumberFormat="1" applyFont="1" applyFill="1" applyBorder="1" applyAlignment="1">
      <alignment horizontal="center" vertical="center"/>
    </xf>
    <xf numFmtId="0" fontId="20" fillId="0" borderId="0" xfId="32" applyFont="1" applyAlignment="1">
      <alignment horizontal="left"/>
    </xf>
    <xf numFmtId="0" fontId="69"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70" fillId="0" borderId="0" xfId="0" applyFont="1"/>
    <xf numFmtId="0" fontId="71" fillId="0" borderId="0" xfId="69" applyFill="1" applyBorder="1" applyProtection="1"/>
    <xf numFmtId="0" fontId="72" fillId="0" borderId="0" xfId="70"/>
    <xf numFmtId="0" fontId="73" fillId="0" borderId="0" xfId="70" applyFont="1"/>
    <xf numFmtId="0" fontId="74" fillId="0" borderId="0" xfId="70" applyFont="1"/>
    <xf numFmtId="0" fontId="75" fillId="0" borderId="0" xfId="70" applyFont="1"/>
    <xf numFmtId="0" fontId="76" fillId="0" borderId="0" xfId="70" applyFont="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164" fontId="28" fillId="2" borderId="20" xfId="64" applyBorder="1">
      <alignment horizontal="right" vertical="center"/>
    </xf>
    <xf numFmtId="0" fontId="17" fillId="0" borderId="0" xfId="11" applyAlignment="1">
      <alignment vertical="top" wrapText="1"/>
    </xf>
    <xf numFmtId="0" fontId="79" fillId="5" borderId="0" xfId="20" applyFont="1" applyFill="1"/>
    <xf numFmtId="164" fontId="79"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21"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7" borderId="0" xfId="0" applyFill="1"/>
    <xf numFmtId="0" fontId="32" fillId="5" borderId="0" xfId="0" applyFont="1" applyFill="1" applyAlignment="1">
      <alignment horizontal="center" vertical="center"/>
    </xf>
    <xf numFmtId="0" fontId="32" fillId="5" borderId="22" xfId="0" applyFont="1" applyFill="1" applyBorder="1" applyAlignment="1">
      <alignment horizontal="center" vertical="center"/>
    </xf>
    <xf numFmtId="164" fontId="28" fillId="20" borderId="2" xfId="64" applyFill="1">
      <alignment horizontal="right" vertical="center"/>
    </xf>
    <xf numFmtId="173" fontId="0" fillId="0" borderId="0" xfId="74" applyNumberFormat="1" applyFont="1"/>
    <xf numFmtId="0" fontId="29" fillId="3" borderId="7" xfId="60" quotePrefix="1" applyBorder="1" applyAlignment="1">
      <alignment horizontal="right"/>
    </xf>
    <xf numFmtId="0" fontId="33" fillId="5" borderId="23" xfId="0" applyFont="1" applyFill="1" applyBorder="1"/>
    <xf numFmtId="3" fontId="32" fillId="5" borderId="23" xfId="0" applyNumberFormat="1" applyFont="1" applyFill="1" applyBorder="1" applyAlignment="1">
      <alignment horizontal="right" wrapText="1"/>
    </xf>
    <xf numFmtId="0" fontId="80" fillId="0" borderId="0" xfId="0" applyFont="1"/>
    <xf numFmtId="168" fontId="80" fillId="0" borderId="0" xfId="9" applyNumberFormat="1" applyFont="1"/>
    <xf numFmtId="10" fontId="80" fillId="0" borderId="0" xfId="9" applyNumberFormat="1" applyFont="1"/>
    <xf numFmtId="166" fontId="80" fillId="0" borderId="0" xfId="0" applyNumberFormat="1" applyFont="1"/>
    <xf numFmtId="0" fontId="29" fillId="3" borderId="2" xfId="60" quotePrefix="1" applyAlignment="1"/>
    <xf numFmtId="0" fontId="29" fillId="3" borderId="7" xfId="60" quotePrefix="1" applyBorder="1" applyAlignment="1"/>
    <xf numFmtId="4" fontId="81"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3" fillId="5" borderId="4" xfId="0" applyFont="1" applyFill="1" applyBorder="1" applyAlignment="1">
      <alignment horizontal="center" vertical="center"/>
    </xf>
    <xf numFmtId="0" fontId="31" fillId="5" borderId="4" xfId="0" applyFont="1" applyFill="1" applyBorder="1" applyAlignment="1">
      <alignment horizontal="center"/>
    </xf>
    <xf numFmtId="2" fontId="82" fillId="0" borderId="0" xfId="0" applyNumberFormat="1" applyFont="1"/>
    <xf numFmtId="2" fontId="81"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8" fillId="21" borderId="2" xfId="82" applyNumberFormat="1" applyFont="1" applyFill="1" applyBorder="1" applyAlignment="1">
      <alignment horizontal="right" vertical="center" wrapText="1"/>
    </xf>
    <xf numFmtId="4" fontId="28" fillId="21" borderId="15" xfId="82" applyNumberFormat="1" applyFont="1" applyFill="1" applyBorder="1" applyAlignment="1">
      <alignment horizontal="right" vertical="center" wrapText="1"/>
    </xf>
    <xf numFmtId="2" fontId="18" fillId="15" borderId="19" xfId="16" applyNumberFormat="1" applyFont="1" applyFill="1" applyBorder="1" applyAlignment="1">
      <alignment horizontal="center"/>
    </xf>
    <xf numFmtId="4" fontId="28" fillId="2" borderId="2" xfId="53">
      <alignment horizontal="right" vertical="center"/>
    </xf>
    <xf numFmtId="0" fontId="18" fillId="0" borderId="0" xfId="4" applyFont="1" applyAlignment="1">
      <alignment horizontal="center" vertical="center"/>
    </xf>
    <xf numFmtId="10" fontId="31" fillId="0" borderId="0" xfId="9" applyNumberFormat="1" applyFont="1" applyFill="1" applyBorder="1" applyAlignment="1" applyProtection="1">
      <alignment horizontal="left"/>
    </xf>
    <xf numFmtId="174" fontId="0" fillId="0" borderId="0" xfId="9" applyNumberFormat="1" applyFont="1"/>
    <xf numFmtId="168" fontId="31" fillId="0" borderId="0" xfId="9" applyNumberFormat="1" applyFont="1" applyFill="1" applyBorder="1" applyAlignment="1" applyProtection="1">
      <alignment horizontal="left"/>
    </xf>
    <xf numFmtId="0" fontId="29" fillId="3" borderId="2" xfId="60" quotePrefix="1" applyAlignment="1">
      <alignment horizontal="right"/>
    </xf>
    <xf numFmtId="0" fontId="20" fillId="0" borderId="0" xfId="32" applyFont="1" applyAlignment="1">
      <alignment horizontal="right"/>
    </xf>
    <xf numFmtId="164" fontId="31" fillId="0" borderId="0" xfId="0" applyNumberFormat="1" applyFont="1"/>
    <xf numFmtId="4" fontId="28" fillId="21" borderId="15" xfId="84" applyNumberFormat="1" applyFont="1" applyFill="1" applyBorder="1" applyAlignment="1">
      <alignment horizontal="right" vertical="center" wrapText="1"/>
    </xf>
    <xf numFmtId="171" fontId="70" fillId="0" borderId="0" xfId="0" applyNumberFormat="1" applyFont="1"/>
    <xf numFmtId="168" fontId="70" fillId="0" borderId="0" xfId="9" applyNumberFormat="1" applyFont="1"/>
    <xf numFmtId="0" fontId="0" fillId="0" borderId="15" xfId="0" applyBorder="1" applyAlignment="1">
      <alignment horizontal="left" vertical="center"/>
    </xf>
    <xf numFmtId="0" fontId="28" fillId="7" borderId="2" xfId="63" quotePrefix="1" applyFill="1" applyAlignment="1">
      <alignment horizontal="left" vertical="center"/>
    </xf>
    <xf numFmtId="0" fontId="50" fillId="7" borderId="2" xfId="65" quotePrefix="1">
      <alignment horizontal="left" vertical="center"/>
    </xf>
    <xf numFmtId="171" fontId="50" fillId="7" borderId="2" xfId="47">
      <alignment horizontal="right" vertical="center"/>
    </xf>
    <xf numFmtId="164" fontId="50" fillId="7" borderId="2" xfId="68">
      <alignment horizontal="right" vertical="center"/>
    </xf>
    <xf numFmtId="4" fontId="28" fillId="2" borderId="2" xfId="86">
      <alignment horizontal="right" vertical="center"/>
    </xf>
    <xf numFmtId="10" fontId="0" fillId="0" borderId="0" xfId="9" applyNumberFormat="1" applyFont="1"/>
    <xf numFmtId="4" fontId="28" fillId="11" borderId="2" xfId="75">
      <alignment horizontal="right" vertical="center"/>
    </xf>
    <xf numFmtId="4" fontId="28" fillId="14" borderId="2" xfId="76">
      <alignment horizontal="right" vertical="center"/>
    </xf>
    <xf numFmtId="4" fontId="28" fillId="7" borderId="2" xfId="42">
      <alignment horizontal="right" vertical="center"/>
    </xf>
    <xf numFmtId="4" fontId="50" fillId="7" borderId="2" xfId="79">
      <alignment horizontal="right" vertical="center"/>
    </xf>
    <xf numFmtId="170" fontId="28" fillId="7" borderId="2" xfId="43">
      <alignment horizontal="right" vertical="center"/>
    </xf>
    <xf numFmtId="164" fontId="28" fillId="7" borderId="2" xfId="44">
      <alignment horizontal="right" vertical="center"/>
    </xf>
    <xf numFmtId="0" fontId="0" fillId="0" borderId="14" xfId="0" applyBorder="1" applyAlignment="1">
      <alignment vertical="center"/>
    </xf>
    <xf numFmtId="0" fontId="0" fillId="0" borderId="15" xfId="0" applyBorder="1" applyAlignment="1">
      <alignment vertical="center"/>
    </xf>
    <xf numFmtId="0" fontId="81" fillId="0" borderId="0" xfId="0" applyFont="1"/>
    <xf numFmtId="0" fontId="84" fillId="0" borderId="0" xfId="0" applyFont="1"/>
    <xf numFmtId="0" fontId="28" fillId="2" borderId="2" xfId="63" quotePrefix="1">
      <alignment horizontal="left" vertical="center" wrapText="1"/>
    </xf>
    <xf numFmtId="4" fontId="50" fillId="12" borderId="2" xfId="40">
      <alignment horizontal="right" vertical="center"/>
    </xf>
    <xf numFmtId="0" fontId="29" fillId="3" borderId="2" xfId="60">
      <alignment horizontal="center" wrapText="1"/>
    </xf>
    <xf numFmtId="0" fontId="29" fillId="3" borderId="2" xfId="36" quotePrefix="1">
      <alignment horizontal="center"/>
    </xf>
    <xf numFmtId="0" fontId="29" fillId="3" borderId="2" xfId="36">
      <alignment horizontal="center"/>
    </xf>
    <xf numFmtId="0" fontId="29" fillId="3" borderId="2" xfId="50">
      <alignment vertical="center" wrapText="1"/>
    </xf>
    <xf numFmtId="0" fontId="28" fillId="2" borderId="2" xfId="63" quotePrefix="1" applyAlignment="1">
      <alignment horizontal="right" vertical="center" wrapText="1"/>
    </xf>
    <xf numFmtId="0" fontId="29" fillId="3" borderId="12" xfId="67">
      <alignment vertical="center" wrapText="1"/>
    </xf>
    <xf numFmtId="4" fontId="28" fillId="22" borderId="2" xfId="53" applyFill="1">
      <alignment horizontal="right" vertical="center"/>
    </xf>
    <xf numFmtId="164" fontId="31" fillId="0" borderId="0" xfId="0" applyNumberFormat="1" applyFont="1" applyAlignment="1">
      <alignment horizontal="left" vertical="top" wrapText="1"/>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0" fontId="29" fillId="3" borderId="2" xfId="60" quotePrefix="1">
      <alignment horizontal="center" wrapText="1"/>
    </xf>
    <xf numFmtId="0" fontId="0" fillId="0" borderId="7" xfId="0" applyBorder="1" applyAlignment="1">
      <alignment horizontal="center" wrapText="1"/>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lignment horizontal="center" wrapText="1"/>
    </xf>
    <xf numFmtId="0" fontId="0" fillId="0" borderId="10" xfId="0" applyBorder="1" applyAlignment="1">
      <alignment horizontal="center" wrapText="1"/>
    </xf>
    <xf numFmtId="0" fontId="29" fillId="3" borderId="24" xfId="60" quotePrefix="1" applyBorder="1" applyAlignment="1">
      <alignment horizontal="center"/>
    </xf>
    <xf numFmtId="0" fontId="0" fillId="0" borderId="25" xfId="0" applyBorder="1" applyAlignment="1">
      <alignment horizontal="center"/>
    </xf>
    <xf numFmtId="0" fontId="29" fillId="3" borderId="26" xfId="60" quotePrefix="1" applyBorder="1" applyAlignment="1">
      <alignment horizontal="center"/>
    </xf>
    <xf numFmtId="0" fontId="0" fillId="0" borderId="27" xfId="0" applyBorder="1" applyAlignment="1">
      <alignment horizontal="center"/>
    </xf>
    <xf numFmtId="0" fontId="28" fillId="2" borderId="14" xfId="63" quotePrefix="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29" fillId="3" borderId="2" xfId="60" quotePrefix="1" applyAlignment="1">
      <alignment horizontal="center"/>
    </xf>
    <xf numFmtId="0" fontId="0" fillId="0" borderId="7" xfId="0" applyBorder="1" applyAlignment="1">
      <alignment horizontal="center"/>
    </xf>
    <xf numFmtId="0" fontId="29" fillId="3" borderId="11" xfId="60" quotePrefix="1" applyBorder="1">
      <alignment horizontal="center" wrapText="1"/>
    </xf>
    <xf numFmtId="0" fontId="28" fillId="2" borderId="13" xfId="63" quotePrefix="1" applyBorder="1" applyAlignment="1">
      <alignment horizontal="left" vertical="center"/>
    </xf>
    <xf numFmtId="169" fontId="28" fillId="2" borderId="13" xfId="66" quotePrefix="1" applyBorder="1" applyAlignment="1">
      <alignment horizontal="left" vertical="center"/>
    </xf>
    <xf numFmtId="169" fontId="28" fillId="2" borderId="14" xfId="66" quotePrefix="1" applyBorder="1" applyAlignment="1">
      <alignment horizontal="left" vertical="center"/>
    </xf>
    <xf numFmtId="0" fontId="29" fillId="3" borderId="11" xfId="60" quotePrefix="1" applyBorder="1" applyAlignment="1">
      <alignment horizontal="center"/>
    </xf>
    <xf numFmtId="0" fontId="0" fillId="0" borderId="10" xfId="0" applyBorder="1" applyAlignment="1">
      <alignment horizontal="center"/>
    </xf>
    <xf numFmtId="0" fontId="37" fillId="0" borderId="0" xfId="4" applyFont="1" applyAlignment="1">
      <alignment horizontal="center" vertical="center"/>
    </xf>
    <xf numFmtId="2" fontId="18" fillId="15" borderId="17" xfId="16" applyNumberFormat="1" applyFont="1" applyFill="1" applyBorder="1" applyAlignment="1">
      <alignment horizontal="center"/>
    </xf>
    <xf numFmtId="2" fontId="18" fillId="15" borderId="18" xfId="16" applyNumberFormat="1" applyFont="1" applyFill="1" applyBorder="1" applyAlignment="1">
      <alignment horizontal="center"/>
    </xf>
    <xf numFmtId="2" fontId="18" fillId="15" borderId="19" xfId="16" applyNumberFormat="1" applyFont="1" applyFill="1" applyBorder="1" applyAlignment="1">
      <alignment horizontal="center"/>
    </xf>
  </cellXfs>
  <cellStyles count="91">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8"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20" xfId="89" xr:uid="{A79DDE69-9CF1-4FD9-8E32-07187CCE5DC8}"/>
    <cellStyle name="Normal 21" xfId="90"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E5DDB7"/>
      <color rgb="FF000000"/>
      <color rgb="FF28A064"/>
      <color rgb="FF70303C"/>
      <color rgb="FFFF0000"/>
      <color rgb="FF7F7F7F"/>
      <color rgb="FF9A5CBC"/>
      <color rgb="FF464394"/>
      <color rgb="FF0090D1"/>
      <color rgb="FFCFA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val>
            <c:numRef>
              <c:f>Dat_01!$AB$8:$AB$38</c:f>
              <c:numCache>
                <c:formatCode>#,##0.00</c:formatCode>
                <c:ptCount val="31"/>
                <c:pt idx="0">
                  <c:v>152.99</c:v>
                </c:pt>
                <c:pt idx="1">
                  <c:v>161.1</c:v>
                </c:pt>
                <c:pt idx="2">
                  <c:v>151.25</c:v>
                </c:pt>
                <c:pt idx="3">
                  <c:v>145</c:v>
                </c:pt>
                <c:pt idx="4">
                  <c:v>101.77</c:v>
                </c:pt>
                <c:pt idx="5">
                  <c:v>117.78</c:v>
                </c:pt>
                <c:pt idx="6">
                  <c:v>128.87</c:v>
                </c:pt>
                <c:pt idx="7">
                  <c:v>135.01</c:v>
                </c:pt>
                <c:pt idx="8">
                  <c:v>141.27000000000001</c:v>
                </c:pt>
                <c:pt idx="9">
                  <c:v>144.28</c:v>
                </c:pt>
                <c:pt idx="10">
                  <c:v>123.55</c:v>
                </c:pt>
                <c:pt idx="11">
                  <c:v>126.8</c:v>
                </c:pt>
                <c:pt idx="12">
                  <c:v>180</c:v>
                </c:pt>
                <c:pt idx="13">
                  <c:v>189.54</c:v>
                </c:pt>
                <c:pt idx="14">
                  <c:v>225</c:v>
                </c:pt>
                <c:pt idx="15">
                  <c:v>199.94</c:v>
                </c:pt>
                <c:pt idx="16">
                  <c:v>200</c:v>
                </c:pt>
                <c:pt idx="17">
                  <c:v>167.85</c:v>
                </c:pt>
                <c:pt idx="18">
                  <c:v>159.68</c:v>
                </c:pt>
                <c:pt idx="19">
                  <c:v>170</c:v>
                </c:pt>
                <c:pt idx="20">
                  <c:v>164.22</c:v>
                </c:pt>
                <c:pt idx="21">
                  <c:v>167.72</c:v>
                </c:pt>
                <c:pt idx="22">
                  <c:v>196.51</c:v>
                </c:pt>
                <c:pt idx="23">
                  <c:v>122</c:v>
                </c:pt>
                <c:pt idx="24">
                  <c:v>96.37</c:v>
                </c:pt>
                <c:pt idx="25">
                  <c:v>44.38</c:v>
                </c:pt>
                <c:pt idx="26">
                  <c:v>53.37</c:v>
                </c:pt>
                <c:pt idx="27">
                  <c:v>69.5</c:v>
                </c:pt>
                <c:pt idx="28">
                  <c:v>133.85</c:v>
                </c:pt>
                <c:pt idx="29">
                  <c:v>114</c:v>
                </c:pt>
                <c:pt idx="30">
                  <c:v>184.48</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Dat_01!$AA$8:$AA$38</c:f>
              <c:numCache>
                <c:formatCode>#,##0.00</c:formatCode>
                <c:ptCount val="31"/>
                <c:pt idx="0">
                  <c:v>10.68</c:v>
                </c:pt>
                <c:pt idx="1">
                  <c:v>99.82</c:v>
                </c:pt>
                <c:pt idx="2">
                  <c:v>88.46</c:v>
                </c:pt>
                <c:pt idx="3">
                  <c:v>82.27</c:v>
                </c:pt>
                <c:pt idx="4">
                  <c:v>28</c:v>
                </c:pt>
                <c:pt idx="5">
                  <c:v>3.52</c:v>
                </c:pt>
                <c:pt idx="6">
                  <c:v>19.2</c:v>
                </c:pt>
                <c:pt idx="7">
                  <c:v>53</c:v>
                </c:pt>
                <c:pt idx="8">
                  <c:v>13.01</c:v>
                </c:pt>
                <c:pt idx="9">
                  <c:v>69.94</c:v>
                </c:pt>
                <c:pt idx="10">
                  <c:v>60.3</c:v>
                </c:pt>
                <c:pt idx="11">
                  <c:v>2.4</c:v>
                </c:pt>
                <c:pt idx="12">
                  <c:v>100</c:v>
                </c:pt>
                <c:pt idx="13">
                  <c:v>111.63</c:v>
                </c:pt>
                <c:pt idx="14">
                  <c:v>115.58</c:v>
                </c:pt>
                <c:pt idx="15">
                  <c:v>108.58</c:v>
                </c:pt>
                <c:pt idx="16">
                  <c:v>106.5</c:v>
                </c:pt>
                <c:pt idx="17">
                  <c:v>110.2</c:v>
                </c:pt>
                <c:pt idx="18">
                  <c:v>102.35</c:v>
                </c:pt>
                <c:pt idx="19">
                  <c:v>114.41</c:v>
                </c:pt>
                <c:pt idx="20">
                  <c:v>115.3</c:v>
                </c:pt>
                <c:pt idx="21">
                  <c:v>103.6</c:v>
                </c:pt>
                <c:pt idx="22">
                  <c:v>112.97</c:v>
                </c:pt>
                <c:pt idx="23">
                  <c:v>75.069999999999993</c:v>
                </c:pt>
                <c:pt idx="24">
                  <c:v>3.6</c:v>
                </c:pt>
                <c:pt idx="25">
                  <c:v>6.93</c:v>
                </c:pt>
                <c:pt idx="26">
                  <c:v>0.65</c:v>
                </c:pt>
                <c:pt idx="27">
                  <c:v>0.65</c:v>
                </c:pt>
                <c:pt idx="28">
                  <c:v>3.52</c:v>
                </c:pt>
                <c:pt idx="29">
                  <c:v>0</c:v>
                </c:pt>
                <c:pt idx="30">
                  <c:v>39</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94.381288088199994</c:v>
                </c:pt>
                <c:pt idx="1">
                  <c:v>136.43406334650001</c:v>
                </c:pt>
                <c:pt idx="2">
                  <c:v>123.8818572732</c:v>
                </c:pt>
                <c:pt idx="3">
                  <c:v>111.45130263350001</c:v>
                </c:pt>
                <c:pt idx="4">
                  <c:v>50.240852177299999</c:v>
                </c:pt>
                <c:pt idx="5">
                  <c:v>43.4571003852</c:v>
                </c:pt>
                <c:pt idx="6">
                  <c:v>83.296381141500007</c:v>
                </c:pt>
                <c:pt idx="7">
                  <c:v>99.898527562699996</c:v>
                </c:pt>
                <c:pt idx="8">
                  <c:v>86.473003535399997</c:v>
                </c:pt>
                <c:pt idx="9">
                  <c:v>112.619786924</c:v>
                </c:pt>
                <c:pt idx="10">
                  <c:v>94.654733326900001</c:v>
                </c:pt>
                <c:pt idx="11">
                  <c:v>66.595779549400007</c:v>
                </c:pt>
                <c:pt idx="12">
                  <c:v>126.0744960351</c:v>
                </c:pt>
                <c:pt idx="13">
                  <c:v>139.07130949930001</c:v>
                </c:pt>
                <c:pt idx="14">
                  <c:v>141.9570706165</c:v>
                </c:pt>
                <c:pt idx="15">
                  <c:v>136.13254095280001</c:v>
                </c:pt>
                <c:pt idx="16">
                  <c:v>136.50451991950001</c:v>
                </c:pt>
                <c:pt idx="17">
                  <c:v>133.07793622930001</c:v>
                </c:pt>
                <c:pt idx="18">
                  <c:v>124.78876266890001</c:v>
                </c:pt>
                <c:pt idx="19">
                  <c:v>147.67598379590001</c:v>
                </c:pt>
                <c:pt idx="20">
                  <c:v>142.37933150340001</c:v>
                </c:pt>
                <c:pt idx="21">
                  <c:v>136.8569915299</c:v>
                </c:pt>
                <c:pt idx="22">
                  <c:v>141.29190418939999</c:v>
                </c:pt>
                <c:pt idx="23">
                  <c:v>91.601784246999998</c:v>
                </c:pt>
                <c:pt idx="24">
                  <c:v>40.497232773500002</c:v>
                </c:pt>
                <c:pt idx="25">
                  <c:v>25.723338237</c:v>
                </c:pt>
                <c:pt idx="26">
                  <c:v>22.339637743899999</c:v>
                </c:pt>
                <c:pt idx="27">
                  <c:v>15.8531806422</c:v>
                </c:pt>
                <c:pt idx="28">
                  <c:v>49.660108446000002</c:v>
                </c:pt>
                <c:pt idx="29">
                  <c:v>39.507520997500002</c:v>
                </c:pt>
                <c:pt idx="30">
                  <c:v>91.272096595600004</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Dat_01!$C$426:$C$438</c:f>
              <c:numCache>
                <c:formatCode>0.0</c:formatCode>
                <c:ptCount val="13"/>
                <c:pt idx="0">
                  <c:v>54.077060931899638</c:v>
                </c:pt>
                <c:pt idx="1">
                  <c:v>45.21072796934866</c:v>
                </c:pt>
                <c:pt idx="2">
                  <c:v>37.826379542395713</c:v>
                </c:pt>
                <c:pt idx="3">
                  <c:v>37.226851851851862</c:v>
                </c:pt>
                <c:pt idx="4">
                  <c:v>35.629480286738342</c:v>
                </c:pt>
                <c:pt idx="5">
                  <c:v>40.451388888888886</c:v>
                </c:pt>
                <c:pt idx="6">
                  <c:v>42.697132616487465</c:v>
                </c:pt>
                <c:pt idx="7">
                  <c:v>42.585125448028677</c:v>
                </c:pt>
                <c:pt idx="8">
                  <c:v>38.217592592592595</c:v>
                </c:pt>
                <c:pt idx="9">
                  <c:v>45.094086021505383</c:v>
                </c:pt>
                <c:pt idx="10">
                  <c:v>50.069444444444457</c:v>
                </c:pt>
                <c:pt idx="11">
                  <c:v>45.071684587813621</c:v>
                </c:pt>
                <c:pt idx="12">
                  <c:v>46.684587813620077</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Dat_01!$D$426:$D$438</c:f>
              <c:numCache>
                <c:formatCode>0.0</c:formatCode>
                <c:ptCount val="13"/>
                <c:pt idx="0">
                  <c:v>8.1093189964157713</c:v>
                </c:pt>
                <c:pt idx="1">
                  <c:v>12.5</c:v>
                </c:pt>
                <c:pt idx="2">
                  <c:v>10.235531628532973</c:v>
                </c:pt>
                <c:pt idx="3">
                  <c:v>6.7523148148148149</c:v>
                </c:pt>
                <c:pt idx="4">
                  <c:v>12.107974910394265</c:v>
                </c:pt>
                <c:pt idx="5">
                  <c:v>10.266203703703702</c:v>
                </c:pt>
                <c:pt idx="6">
                  <c:v>10.103046594982077</c:v>
                </c:pt>
                <c:pt idx="7">
                  <c:v>9.8790322580645178</c:v>
                </c:pt>
                <c:pt idx="8">
                  <c:v>10.532407407407408</c:v>
                </c:pt>
                <c:pt idx="9">
                  <c:v>7.39247311827957</c:v>
                </c:pt>
                <c:pt idx="10">
                  <c:v>6.8518518518518503</c:v>
                </c:pt>
                <c:pt idx="11">
                  <c:v>5.7571684587813623</c:v>
                </c:pt>
                <c:pt idx="12">
                  <c:v>8.5797491039426514</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Dat_01!$F$426:$F$438</c:f>
              <c:numCache>
                <c:formatCode>0.0</c:formatCode>
                <c:ptCount val="13"/>
                <c:pt idx="0">
                  <c:v>0</c:v>
                </c:pt>
                <c:pt idx="1">
                  <c:v>0</c:v>
                </c:pt>
                <c:pt idx="2">
                  <c:v>0.26917900403768508</c:v>
                </c:pt>
                <c:pt idx="3">
                  <c:v>0.41666666666666669</c:v>
                </c:pt>
                <c:pt idx="4">
                  <c:v>0</c:v>
                </c:pt>
                <c:pt idx="5">
                  <c:v>0</c:v>
                </c:pt>
                <c:pt idx="6">
                  <c:v>0</c:v>
                </c:pt>
                <c:pt idx="7">
                  <c:v>0</c:v>
                </c:pt>
                <c:pt idx="8">
                  <c:v>0</c:v>
                </c:pt>
                <c:pt idx="9">
                  <c:v>0</c:v>
                </c:pt>
                <c:pt idx="10">
                  <c:v>0</c:v>
                </c:pt>
                <c:pt idx="11">
                  <c:v>0</c:v>
                </c:pt>
                <c:pt idx="12">
                  <c:v>0.13440860215053765</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Dat_01!$G$426:$G$438</c:f>
              <c:numCache>
                <c:formatCode>0.0</c:formatCode>
                <c:ptCount val="13"/>
                <c:pt idx="0">
                  <c:v>9.6998207885304648</c:v>
                </c:pt>
                <c:pt idx="1">
                  <c:v>3.5201149425287355</c:v>
                </c:pt>
                <c:pt idx="2">
                  <c:v>3.9434724091520863</c:v>
                </c:pt>
                <c:pt idx="3">
                  <c:v>1.6689814814814814</c:v>
                </c:pt>
                <c:pt idx="4">
                  <c:v>0.53763440860215062</c:v>
                </c:pt>
                <c:pt idx="5">
                  <c:v>1.5972222222222221</c:v>
                </c:pt>
                <c:pt idx="6">
                  <c:v>7.795698924731183</c:v>
                </c:pt>
                <c:pt idx="7">
                  <c:v>7.5940860215053752</c:v>
                </c:pt>
                <c:pt idx="8">
                  <c:v>6.5972222222222223</c:v>
                </c:pt>
                <c:pt idx="9">
                  <c:v>3.1586021505376345</c:v>
                </c:pt>
                <c:pt idx="10">
                  <c:v>10.509259259259258</c:v>
                </c:pt>
                <c:pt idx="11">
                  <c:v>17.607526881720432</c:v>
                </c:pt>
                <c:pt idx="12">
                  <c:v>9.341397849462366</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Dat_01!$H$426:$H$438</c:f>
              <c:numCache>
                <c:formatCode>0.0</c:formatCode>
                <c:ptCount val="13"/>
                <c:pt idx="0">
                  <c:v>0</c:v>
                </c:pt>
                <c:pt idx="1">
                  <c:v>1.8199233716475096</c:v>
                </c:pt>
                <c:pt idx="2">
                  <c:v>8.5980260206370556</c:v>
                </c:pt>
                <c:pt idx="3">
                  <c:v>10.990740740740742</c:v>
                </c:pt>
                <c:pt idx="4">
                  <c:v>12.354390681003583</c:v>
                </c:pt>
                <c:pt idx="5">
                  <c:v>12.07175925925926</c:v>
                </c:pt>
                <c:pt idx="6">
                  <c:v>1.3440860215053763</c:v>
                </c:pt>
                <c:pt idx="7">
                  <c:v>0</c:v>
                </c:pt>
                <c:pt idx="8">
                  <c:v>0</c:v>
                </c:pt>
                <c:pt idx="9">
                  <c:v>0</c:v>
                </c:pt>
                <c:pt idx="10">
                  <c:v>0.69444444444444442</c:v>
                </c:pt>
                <c:pt idx="11">
                  <c:v>0.33602150537634407</c:v>
                </c:pt>
                <c:pt idx="12">
                  <c:v>0.67204301075268824</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Dat_01!$I$426:$I$438</c:f>
              <c:numCache>
                <c:formatCode>0.0</c:formatCode>
                <c:ptCount val="13"/>
                <c:pt idx="0">
                  <c:v>0</c:v>
                </c:pt>
                <c:pt idx="1">
                  <c:v>0</c:v>
                </c:pt>
                <c:pt idx="2">
                  <c:v>0</c:v>
                </c:pt>
                <c:pt idx="3">
                  <c:v>0</c:v>
                </c:pt>
                <c:pt idx="4">
                  <c:v>0</c:v>
                </c:pt>
                <c:pt idx="5">
                  <c:v>0.34722222222222221</c:v>
                </c:pt>
                <c:pt idx="6">
                  <c:v>0.13440860215053765</c:v>
                </c:pt>
                <c:pt idx="7">
                  <c:v>0</c:v>
                </c:pt>
                <c:pt idx="8">
                  <c:v>0.55555555555555558</c:v>
                </c:pt>
                <c:pt idx="9">
                  <c:v>0.51523297491039421</c:v>
                </c:pt>
                <c:pt idx="10">
                  <c:v>0.20833333333333334</c:v>
                </c:pt>
                <c:pt idx="11">
                  <c:v>1.0080645161290323</c:v>
                </c:pt>
                <c:pt idx="12">
                  <c:v>0.26881720430107531</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Dat_01!$J$426:$J$438</c:f>
              <c:numCache>
                <c:formatCode>0.0</c:formatCode>
                <c:ptCount val="13"/>
                <c:pt idx="0">
                  <c:v>28.113799283154123</c:v>
                </c:pt>
                <c:pt idx="1">
                  <c:v>36.949233716475099</c:v>
                </c:pt>
                <c:pt idx="2">
                  <c:v>39.127411395244494</c:v>
                </c:pt>
                <c:pt idx="3">
                  <c:v>42.944444444444436</c:v>
                </c:pt>
                <c:pt idx="4">
                  <c:v>39.370519713261658</c:v>
                </c:pt>
                <c:pt idx="5">
                  <c:v>35.266203703703709</c:v>
                </c:pt>
                <c:pt idx="6">
                  <c:v>37.925627240143363</c:v>
                </c:pt>
                <c:pt idx="7">
                  <c:v>39.941756272401435</c:v>
                </c:pt>
                <c:pt idx="8">
                  <c:v>44.097222222222221</c:v>
                </c:pt>
                <c:pt idx="9">
                  <c:v>43.839605734767019</c:v>
                </c:pt>
                <c:pt idx="10">
                  <c:v>31.666666666666664</c:v>
                </c:pt>
                <c:pt idx="11">
                  <c:v>30.219534050179213</c:v>
                </c:pt>
                <c:pt idx="12">
                  <c:v>34.318996415770606</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Dat_01!$D$454:$D$466</c:f>
              <c:numCache>
                <c:formatCode>0.00</c:formatCode>
                <c:ptCount val="13"/>
                <c:pt idx="0">
                  <c:v>76.790000000000006</c:v>
                </c:pt>
                <c:pt idx="1">
                  <c:v>40.683</c:v>
                </c:pt>
                <c:pt idx="2">
                  <c:v>21.31</c:v>
                </c:pt>
                <c:pt idx="3">
                  <c:v>13.973999999999998</c:v>
                </c:pt>
                <c:pt idx="4">
                  <c:v>30.080000000000002</c:v>
                </c:pt>
                <c:pt idx="5">
                  <c:v>56.730000000000004</c:v>
                </c:pt>
                <c:pt idx="6">
                  <c:v>72.570000000000007</c:v>
                </c:pt>
                <c:pt idx="7">
                  <c:v>91.210000000000008</c:v>
                </c:pt>
                <c:pt idx="8">
                  <c:v>72.83</c:v>
                </c:pt>
                <c:pt idx="9">
                  <c:v>70.050000000000011</c:v>
                </c:pt>
                <c:pt idx="10">
                  <c:v>106.64999999999999</c:v>
                </c:pt>
                <c:pt idx="11">
                  <c:v>114.16</c:v>
                </c:pt>
                <c:pt idx="12">
                  <c:v>100.36</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Dat_01!$E$454:$E$466</c:f>
              <c:numCache>
                <c:formatCode>0.00</c:formatCode>
                <c:ptCount val="13"/>
                <c:pt idx="0">
                  <c:v>8.4899999999999984</c:v>
                </c:pt>
                <c:pt idx="1">
                  <c:v>9.3930000000000007</c:v>
                </c:pt>
                <c:pt idx="2">
                  <c:v>12.64</c:v>
                </c:pt>
                <c:pt idx="3">
                  <c:v>17.049999999999997</c:v>
                </c:pt>
                <c:pt idx="4">
                  <c:v>14.17</c:v>
                </c:pt>
                <c:pt idx="5">
                  <c:v>11.4</c:v>
                </c:pt>
                <c:pt idx="6">
                  <c:v>8.168000000000001</c:v>
                </c:pt>
                <c:pt idx="7">
                  <c:v>8.7099999999999991</c:v>
                </c:pt>
                <c:pt idx="8">
                  <c:v>10.870000000000001</c:v>
                </c:pt>
                <c:pt idx="9">
                  <c:v>14.330000000000002</c:v>
                </c:pt>
                <c:pt idx="10">
                  <c:v>12.036000000000001</c:v>
                </c:pt>
                <c:pt idx="11">
                  <c:v>10.780000000000001</c:v>
                </c:pt>
                <c:pt idx="12">
                  <c:v>11.41</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Dat_01!$F$454:$F$466</c:f>
              <c:numCache>
                <c:formatCode>0.00</c:formatCode>
                <c:ptCount val="13"/>
                <c:pt idx="0">
                  <c:v>0.35</c:v>
                </c:pt>
                <c:pt idx="1">
                  <c:v>0.33</c:v>
                </c:pt>
                <c:pt idx="2">
                  <c:v>0.19</c:v>
                </c:pt>
                <c:pt idx="3">
                  <c:v>0.16</c:v>
                </c:pt>
                <c:pt idx="4">
                  <c:v>0.15</c:v>
                </c:pt>
                <c:pt idx="5">
                  <c:v>0.15</c:v>
                </c:pt>
                <c:pt idx="6">
                  <c:v>0.31</c:v>
                </c:pt>
                <c:pt idx="7">
                  <c:v>0.16</c:v>
                </c:pt>
                <c:pt idx="8">
                  <c:v>0.16</c:v>
                </c:pt>
                <c:pt idx="9">
                  <c:v>0.16</c:v>
                </c:pt>
                <c:pt idx="10">
                  <c:v>0.19</c:v>
                </c:pt>
                <c:pt idx="11">
                  <c:v>0.28000000000000003</c:v>
                </c:pt>
                <c:pt idx="12">
                  <c:v>0.26</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5024926364856125"/>
                  <c:y val="-0.27244164099912155"/>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477416595837944"/>
                  <c:y val="-0.11526143789887276"/>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100.36</c:v>
                </c:pt>
                <c:pt idx="1">
                  <c:v>0.26</c:v>
                </c:pt>
                <c:pt idx="2">
                  <c:v>0</c:v>
                </c:pt>
                <c:pt idx="3">
                  <c:v>11.41</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Dat_01!$B$82:$N$82</c:f>
              <c:numCache>
                <c:formatCode>#,##0.00</c:formatCode>
                <c:ptCount val="13"/>
                <c:pt idx="0">
                  <c:v>2.97</c:v>
                </c:pt>
                <c:pt idx="1">
                  <c:v>4.0330000000000004</c:v>
                </c:pt>
                <c:pt idx="2">
                  <c:v>7.12</c:v>
                </c:pt>
                <c:pt idx="3">
                  <c:v>9.5299999999999994</c:v>
                </c:pt>
                <c:pt idx="4">
                  <c:v>8.99</c:v>
                </c:pt>
                <c:pt idx="5">
                  <c:v>5.54</c:v>
                </c:pt>
                <c:pt idx="6">
                  <c:v>3.41</c:v>
                </c:pt>
                <c:pt idx="7">
                  <c:v>3.41</c:v>
                </c:pt>
                <c:pt idx="8">
                  <c:v>4.47</c:v>
                </c:pt>
                <c:pt idx="9">
                  <c:v>4.8600000000000003</c:v>
                </c:pt>
                <c:pt idx="10">
                  <c:v>4.9829999999999997</c:v>
                </c:pt>
                <c:pt idx="11">
                  <c:v>4.16</c:v>
                </c:pt>
                <c:pt idx="12">
                  <c:v>4.25</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Dat_01!$B$83:$N$83</c:f>
              <c:numCache>
                <c:formatCode>#,##0.00</c:formatCode>
                <c:ptCount val="13"/>
                <c:pt idx="0">
                  <c:v>3.08</c:v>
                </c:pt>
                <c:pt idx="1">
                  <c:v>3.15</c:v>
                </c:pt>
                <c:pt idx="2">
                  <c:v>3.41</c:v>
                </c:pt>
                <c:pt idx="3">
                  <c:v>5.35</c:v>
                </c:pt>
                <c:pt idx="4">
                  <c:v>3.07</c:v>
                </c:pt>
                <c:pt idx="5">
                  <c:v>2.6</c:v>
                </c:pt>
                <c:pt idx="6">
                  <c:v>2.81</c:v>
                </c:pt>
                <c:pt idx="7">
                  <c:v>3.17</c:v>
                </c:pt>
                <c:pt idx="8">
                  <c:v>3.62</c:v>
                </c:pt>
                <c:pt idx="9">
                  <c:v>5.51</c:v>
                </c:pt>
                <c:pt idx="10">
                  <c:v>4.04</c:v>
                </c:pt>
                <c:pt idx="11">
                  <c:v>3.64</c:v>
                </c:pt>
                <c:pt idx="12">
                  <c:v>3.6</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Dat_01!$B$84:$N$84</c:f>
              <c:numCache>
                <c:formatCode>#,##0.00</c:formatCode>
                <c:ptCount val="13"/>
                <c:pt idx="0">
                  <c:v>2.4699999999999998</c:v>
                </c:pt>
                <c:pt idx="1">
                  <c:v>2.3899999999999997</c:v>
                </c:pt>
                <c:pt idx="2">
                  <c:v>2.25</c:v>
                </c:pt>
                <c:pt idx="3">
                  <c:v>2.1999999999999997</c:v>
                </c:pt>
                <c:pt idx="4">
                  <c:v>2.5499999999999998</c:v>
                </c:pt>
                <c:pt idx="5">
                  <c:v>3.6599999999999997</c:v>
                </c:pt>
                <c:pt idx="6">
                  <c:v>2.2299999999999995</c:v>
                </c:pt>
                <c:pt idx="7">
                  <c:v>2.17</c:v>
                </c:pt>
                <c:pt idx="8">
                  <c:v>2.6799999999999997</c:v>
                </c:pt>
                <c:pt idx="9">
                  <c:v>3.6899999999999995</c:v>
                </c:pt>
                <c:pt idx="10">
                  <c:v>3.7929999999999997</c:v>
                </c:pt>
                <c:pt idx="11">
                  <c:v>4.24</c:v>
                </c:pt>
                <c:pt idx="12">
                  <c:v>4.3999999999999995</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Dat_01!$B$85:$N$85</c:f>
              <c:numCache>
                <c:formatCode>#,##0.00</c:formatCode>
                <c:ptCount val="13"/>
                <c:pt idx="0">
                  <c:v>-0.14000000000000001</c:v>
                </c:pt>
                <c:pt idx="1">
                  <c:v>-0.09</c:v>
                </c:pt>
                <c:pt idx="2">
                  <c:v>-0.02</c:v>
                </c:pt>
                <c:pt idx="3">
                  <c:v>-0.02</c:v>
                </c:pt>
                <c:pt idx="4">
                  <c:v>-0.06</c:v>
                </c:pt>
                <c:pt idx="5">
                  <c:v>-0.09</c:v>
                </c:pt>
                <c:pt idx="6">
                  <c:v>-0.08</c:v>
                </c:pt>
                <c:pt idx="7">
                  <c:v>-0.08</c:v>
                </c:pt>
                <c:pt idx="8">
                  <c:v>-0.11</c:v>
                </c:pt>
                <c:pt idx="9">
                  <c:v>-0.12</c:v>
                </c:pt>
                <c:pt idx="10">
                  <c:v>-0.53</c:v>
                </c:pt>
                <c:pt idx="11">
                  <c:v>-1.05</c:v>
                </c:pt>
                <c:pt idx="12">
                  <c:v>-0.73</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Dat_01!$B$86:$N$86</c:f>
              <c:numCache>
                <c:formatCode>#,##0.00</c:formatCode>
                <c:ptCount val="13"/>
                <c:pt idx="0">
                  <c:v>0.4</c:v>
                </c:pt>
                <c:pt idx="1">
                  <c:v>0.32</c:v>
                </c:pt>
                <c:pt idx="2">
                  <c:v>0.3</c:v>
                </c:pt>
                <c:pt idx="3">
                  <c:v>0.51</c:v>
                </c:pt>
                <c:pt idx="4">
                  <c:v>0.38</c:v>
                </c:pt>
                <c:pt idx="5">
                  <c:v>0.36</c:v>
                </c:pt>
                <c:pt idx="6">
                  <c:v>0.3</c:v>
                </c:pt>
                <c:pt idx="7">
                  <c:v>0.45</c:v>
                </c:pt>
                <c:pt idx="8">
                  <c:v>0.44</c:v>
                </c:pt>
                <c:pt idx="9">
                  <c:v>0.43</c:v>
                </c:pt>
                <c:pt idx="10">
                  <c:v>0.31</c:v>
                </c:pt>
                <c:pt idx="11">
                  <c:v>0.31</c:v>
                </c:pt>
                <c:pt idx="12">
                  <c:v>0.68</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Dat_01!$B$87:$N$87</c:f>
              <c:numCache>
                <c:formatCode>#,##0.00</c:formatCode>
                <c:ptCount val="13"/>
                <c:pt idx="0">
                  <c:v>0.35</c:v>
                </c:pt>
                <c:pt idx="1">
                  <c:v>0.3</c:v>
                </c:pt>
                <c:pt idx="2">
                  <c:v>0.25</c:v>
                </c:pt>
                <c:pt idx="3">
                  <c:v>0.24</c:v>
                </c:pt>
                <c:pt idx="4">
                  <c:v>-0.01</c:v>
                </c:pt>
                <c:pt idx="5">
                  <c:v>0.02</c:v>
                </c:pt>
                <c:pt idx="6">
                  <c:v>0.09</c:v>
                </c:pt>
                <c:pt idx="7">
                  <c:v>0.19</c:v>
                </c:pt>
                <c:pt idx="8">
                  <c:v>0.46</c:v>
                </c:pt>
                <c:pt idx="9">
                  <c:v>0.67</c:v>
                </c:pt>
                <c:pt idx="10">
                  <c:v>0.1</c:v>
                </c:pt>
                <c:pt idx="11">
                  <c:v>0.1</c:v>
                </c:pt>
                <c:pt idx="12">
                  <c:v>0.37</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Dat_01!$B$88:$N$88</c:f>
              <c:numCache>
                <c:formatCode>#,##0.00</c:formatCode>
                <c:ptCount val="13"/>
                <c:pt idx="0">
                  <c:v>-0.09</c:v>
                </c:pt>
                <c:pt idx="1">
                  <c:v>-0.14000000000000001</c:v>
                </c:pt>
                <c:pt idx="2">
                  <c:v>-0.13</c:v>
                </c:pt>
                <c:pt idx="3">
                  <c:v>-0.12</c:v>
                </c:pt>
                <c:pt idx="4">
                  <c:v>-0.13</c:v>
                </c:pt>
                <c:pt idx="5">
                  <c:v>-0.11</c:v>
                </c:pt>
                <c:pt idx="6">
                  <c:v>-0.09</c:v>
                </c:pt>
                <c:pt idx="7">
                  <c:v>-0.1</c:v>
                </c:pt>
                <c:pt idx="8">
                  <c:v>-0.11</c:v>
                </c:pt>
                <c:pt idx="9">
                  <c:v>-0.11</c:v>
                </c:pt>
                <c:pt idx="10">
                  <c:v>-0.12</c:v>
                </c:pt>
                <c:pt idx="11">
                  <c:v>-0.11</c:v>
                </c:pt>
                <c:pt idx="12">
                  <c:v>-0.12</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-0.56999999999999995</c:v>
                </c:pt>
                <c:pt idx="1">
                  <c:v>-0.61</c:v>
                </c:pt>
                <c:pt idx="2">
                  <c:v>-0.57000000000000006</c:v>
                </c:pt>
                <c:pt idx="3">
                  <c:v>-0.67</c:v>
                </c:pt>
                <c:pt idx="4">
                  <c:v>-0.67</c:v>
                </c:pt>
                <c:pt idx="5">
                  <c:v>-0.62</c:v>
                </c:pt>
                <c:pt idx="6">
                  <c:v>-0.56199999999999994</c:v>
                </c:pt>
                <c:pt idx="7">
                  <c:v>-0.53999999999999992</c:v>
                </c:pt>
                <c:pt idx="8">
                  <c:v>-0.62</c:v>
                </c:pt>
                <c:pt idx="9">
                  <c:v>-0.66</c:v>
                </c:pt>
                <c:pt idx="10">
                  <c:v>-0.6</c:v>
                </c:pt>
                <c:pt idx="11">
                  <c:v>-0.52</c:v>
                </c:pt>
                <c:pt idx="12">
                  <c:v>-1.0900000000000001</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Dat_01!$B$90:$N$90</c:f>
              <c:numCache>
                <c:formatCode>0.00</c:formatCode>
                <c:ptCount val="13"/>
                <c:pt idx="0">
                  <c:v>0.02</c:v>
                </c:pt>
                <c:pt idx="1">
                  <c:v>0.04</c:v>
                </c:pt>
                <c:pt idx="2">
                  <c:v>0.03</c:v>
                </c:pt>
                <c:pt idx="3">
                  <c:v>0.03</c:v>
                </c:pt>
                <c:pt idx="4">
                  <c:v>0.05</c:v>
                </c:pt>
                <c:pt idx="5">
                  <c:v>0.04</c:v>
                </c:pt>
                <c:pt idx="6">
                  <c:v>0.06</c:v>
                </c:pt>
                <c:pt idx="7">
                  <c:v>0.04</c:v>
                </c:pt>
                <c:pt idx="8">
                  <c:v>0.04</c:v>
                </c:pt>
                <c:pt idx="9">
                  <c:v>0.06</c:v>
                </c:pt>
                <c:pt idx="10">
                  <c:v>0.06</c:v>
                </c:pt>
                <c:pt idx="11">
                  <c:v>0.01</c:v>
                </c:pt>
                <c:pt idx="12">
                  <c:v>0.05</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2025 Enero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972.43190000000004</c:v>
                </c:pt>
                <c:pt idx="1">
                  <c:v>500.99336899999997</c:v>
                </c:pt>
                <c:pt idx="2">
                  <c:v>154.700524</c:v>
                </c:pt>
                <c:pt idx="3">
                  <c:v>520.06039999999996</c:v>
                </c:pt>
                <c:pt idx="4">
                  <c:v>356.33449999999999</c:v>
                </c:pt>
                <c:pt idx="5">
                  <c:v>119.74072</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2024 Enero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716.44830000000002</c:v>
                </c:pt>
                <c:pt idx="1">
                  <c:v>545.77090699999997</c:v>
                </c:pt>
                <c:pt idx="2">
                  <c:v>350.55439799999999</c:v>
                </c:pt>
                <c:pt idx="3">
                  <c:v>362.12784799999997</c:v>
                </c:pt>
                <c:pt idx="4">
                  <c:v>381.27075000000002</c:v>
                </c:pt>
                <c:pt idx="5">
                  <c:v>76.519612999999993</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Dat_01!$C$137:$O$137</c:f>
              <c:numCache>
                <c:formatCode>#,##0;\(#,##0\)</c:formatCode>
                <c:ptCount val="13"/>
                <c:pt idx="0">
                  <c:v>152061</c:v>
                </c:pt>
                <c:pt idx="1">
                  <c:v>179084</c:v>
                </c:pt>
                <c:pt idx="2">
                  <c:v>164083</c:v>
                </c:pt>
                <c:pt idx="3">
                  <c:v>190630.2</c:v>
                </c:pt>
                <c:pt idx="4">
                  <c:v>178457</c:v>
                </c:pt>
                <c:pt idx="5">
                  <c:v>118330</c:v>
                </c:pt>
                <c:pt idx="6">
                  <c:v>157282</c:v>
                </c:pt>
                <c:pt idx="7">
                  <c:v>161811</c:v>
                </c:pt>
                <c:pt idx="8">
                  <c:v>252325.6</c:v>
                </c:pt>
                <c:pt idx="9">
                  <c:v>216291.20000000001</c:v>
                </c:pt>
                <c:pt idx="10">
                  <c:v>128228.3</c:v>
                </c:pt>
                <c:pt idx="11">
                  <c:v>113359.5</c:v>
                </c:pt>
                <c:pt idx="12">
                  <c:v>136200</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Dat_01!$C$139:$O$139</c:f>
              <c:numCache>
                <c:formatCode>#,##0;\(#,##0\)</c:formatCode>
                <c:ptCount val="13"/>
                <c:pt idx="0">
                  <c:v>529633</c:v>
                </c:pt>
                <c:pt idx="1">
                  <c:v>584373.5</c:v>
                </c:pt>
                <c:pt idx="2">
                  <c:v>712135.3</c:v>
                </c:pt>
                <c:pt idx="3">
                  <c:v>680753.3</c:v>
                </c:pt>
                <c:pt idx="4">
                  <c:v>870770.7</c:v>
                </c:pt>
                <c:pt idx="5">
                  <c:v>665201</c:v>
                </c:pt>
                <c:pt idx="6">
                  <c:v>684982.3</c:v>
                </c:pt>
                <c:pt idx="7">
                  <c:v>699616.5</c:v>
                </c:pt>
                <c:pt idx="8">
                  <c:v>690114.2</c:v>
                </c:pt>
                <c:pt idx="9">
                  <c:v>768114.9</c:v>
                </c:pt>
                <c:pt idx="10">
                  <c:v>887929.3</c:v>
                </c:pt>
                <c:pt idx="11">
                  <c:v>742981.5</c:v>
                </c:pt>
                <c:pt idx="12">
                  <c:v>683064</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Dat_01!$C$143:$O$143</c:f>
              <c:numCache>
                <c:formatCode>#,##0;\(#,##0\)</c:formatCode>
                <c:ptCount val="13"/>
                <c:pt idx="0">
                  <c:v>0</c:v>
                </c:pt>
                <c:pt idx="1">
                  <c:v>0</c:v>
                </c:pt>
                <c:pt idx="2">
                  <c:v>0</c:v>
                </c:pt>
                <c:pt idx="3">
                  <c:v>53.3</c:v>
                </c:pt>
                <c:pt idx="4">
                  <c:v>0.2</c:v>
                </c:pt>
                <c:pt idx="5">
                  <c:v>0</c:v>
                </c:pt>
                <c:pt idx="6">
                  <c:v>0</c:v>
                </c:pt>
                <c:pt idx="7">
                  <c:v>0</c:v>
                </c:pt>
                <c:pt idx="8">
                  <c:v>0</c:v>
                </c:pt>
                <c:pt idx="9">
                  <c:v>3132.9</c:v>
                </c:pt>
                <c:pt idx="10">
                  <c:v>987.5</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Dat_01!$C$146:$O$146</c:f>
              <c:numCache>
                <c:formatCode>#,##0;\(#,##0\)</c:formatCode>
                <c:ptCount val="13"/>
                <c:pt idx="0">
                  <c:v>0</c:v>
                </c:pt>
                <c:pt idx="1">
                  <c:v>12294.2</c:v>
                </c:pt>
                <c:pt idx="2">
                  <c:v>879.8</c:v>
                </c:pt>
                <c:pt idx="3">
                  <c:v>7545</c:v>
                </c:pt>
                <c:pt idx="4">
                  <c:v>0</c:v>
                </c:pt>
                <c:pt idx="5">
                  <c:v>0</c:v>
                </c:pt>
                <c:pt idx="6">
                  <c:v>6619.1</c:v>
                </c:pt>
                <c:pt idx="7">
                  <c:v>0</c:v>
                </c:pt>
                <c:pt idx="8">
                  <c:v>184</c:v>
                </c:pt>
                <c:pt idx="9">
                  <c:v>230</c:v>
                </c:pt>
                <c:pt idx="10">
                  <c:v>6140.4</c:v>
                </c:pt>
                <c:pt idx="11">
                  <c:v>918</c:v>
                </c:pt>
                <c:pt idx="12">
                  <c:v>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Dat_01!$C$134:$O$134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58.4</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Dat_01!$C$144:$O$144</c:f>
              <c:numCache>
                <c:formatCode>#,##0;\(#,##0\)</c:formatCode>
                <c:ptCount val="13"/>
                <c:pt idx="0">
                  <c:v>0</c:v>
                </c:pt>
                <c:pt idx="1">
                  <c:v>0</c:v>
                </c:pt>
                <c:pt idx="2">
                  <c:v>0</c:v>
                </c:pt>
                <c:pt idx="3">
                  <c:v>676.6</c:v>
                </c:pt>
                <c:pt idx="4">
                  <c:v>0</c:v>
                </c:pt>
                <c:pt idx="5">
                  <c:v>0</c:v>
                </c:pt>
                <c:pt idx="6">
                  <c:v>0</c:v>
                </c:pt>
                <c:pt idx="7">
                  <c:v>0</c:v>
                </c:pt>
                <c:pt idx="8">
                  <c:v>0</c:v>
                </c:pt>
                <c:pt idx="9">
                  <c:v>767.5</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Dat_01!$C$135:$O$135</c:f>
              <c:numCache>
                <c:formatCode>#,##0;\(#,##0\)</c:formatCode>
                <c:ptCount val="13"/>
                <c:pt idx="0">
                  <c:v>0</c:v>
                </c:pt>
                <c:pt idx="1">
                  <c:v>0</c:v>
                </c:pt>
                <c:pt idx="2">
                  <c:v>0</c:v>
                </c:pt>
                <c:pt idx="3">
                  <c:v>100</c:v>
                </c:pt>
                <c:pt idx="4">
                  <c:v>4370</c:v>
                </c:pt>
                <c:pt idx="5">
                  <c:v>0.6</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Dat_01!$C$136:$O$136</c:f>
              <c:numCache>
                <c:formatCode>#,##0;\(#,##0\)</c:formatCode>
                <c:ptCount val="13"/>
                <c:pt idx="0">
                  <c:v>0</c:v>
                </c:pt>
                <c:pt idx="1">
                  <c:v>14553.4</c:v>
                </c:pt>
                <c:pt idx="2">
                  <c:v>691036.7</c:v>
                </c:pt>
                <c:pt idx="3">
                  <c:v>1102040.5</c:v>
                </c:pt>
                <c:pt idx="4">
                  <c:v>697817.8</c:v>
                </c:pt>
                <c:pt idx="5">
                  <c:v>435935.9</c:v>
                </c:pt>
                <c:pt idx="6">
                  <c:v>60001.7</c:v>
                </c:pt>
                <c:pt idx="7">
                  <c:v>0</c:v>
                </c:pt>
                <c:pt idx="8">
                  <c:v>0</c:v>
                </c:pt>
                <c:pt idx="9">
                  <c:v>0</c:v>
                </c:pt>
                <c:pt idx="10">
                  <c:v>13528</c:v>
                </c:pt>
                <c:pt idx="11">
                  <c:v>0</c:v>
                </c:pt>
                <c:pt idx="12">
                  <c:v>1486.2</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155.13578439770001</c:v>
                </c:pt>
                <c:pt idx="1">
                  <c:v>131.86444546679999</c:v>
                </c:pt>
                <c:pt idx="2">
                  <c:v>99.9932993834</c:v>
                </c:pt>
                <c:pt idx="3">
                  <c:v>93.258906953199997</c:v>
                </c:pt>
                <c:pt idx="4">
                  <c:v>114.750116874</c:v>
                </c:pt>
                <c:pt idx="5">
                  <c:v>119.53299055479999</c:v>
                </c:pt>
                <c:pt idx="6">
                  <c:v>142.29953853699999</c:v>
                </c:pt>
                <c:pt idx="7">
                  <c:v>169.8250358736</c:v>
                </c:pt>
                <c:pt idx="8">
                  <c:v>155.87385113639999</c:v>
                </c:pt>
                <c:pt idx="9">
                  <c:v>156.48894517759999</c:v>
                </c:pt>
                <c:pt idx="10">
                  <c:v>180.21856425760001</c:v>
                </c:pt>
                <c:pt idx="11">
                  <c:v>189.98390589690001</c:v>
                </c:pt>
                <c:pt idx="12">
                  <c:v>194.01727648470001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4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0</c:v>
                </c:pt>
                <c:pt idx="1">
                  <c:v>0</c:v>
                </c:pt>
                <c:pt idx="2">
                  <c:v>0</c:v>
                </c:pt>
                <c:pt idx="3">
                  <c:v>0</c:v>
                </c:pt>
                <c:pt idx="4">
                  <c:v>0</c:v>
                </c:pt>
                <c:pt idx="5">
                  <c:v>0</c:v>
                </c:pt>
                <c:pt idx="6">
                  <c:v>212.3</c:v>
                </c:pt>
                <c:pt idx="7">
                  <c:v>168.2</c:v>
                </c:pt>
                <c:pt idx="8">
                  <c:v>1706.2</c:v>
                </c:pt>
                <c:pt idx="9">
                  <c:v>2400.8000000000002</c:v>
                </c:pt>
                <c:pt idx="10">
                  <c:v>0</c:v>
                </c:pt>
                <c:pt idx="11">
                  <c:v>15185.5</c:v>
                </c:pt>
                <c:pt idx="12">
                  <c:v>0</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#,##0;\(#,##0\)</c:formatCode>
                <c:ptCount val="13"/>
                <c:pt idx="0">
                  <c:v>0</c:v>
                </c:pt>
                <c:pt idx="1">
                  <c:v>0</c:v>
                </c:pt>
                <c:pt idx="2">
                  <c:v>0</c:v>
                </c:pt>
                <c:pt idx="3">
                  <c:v>0</c:v>
                </c:pt>
                <c:pt idx="4">
                  <c:v>0</c:v>
                </c:pt>
                <c:pt idx="5">
                  <c:v>0</c:v>
                </c:pt>
                <c:pt idx="6">
                  <c:v>0</c:v>
                </c:pt>
                <c:pt idx="7">
                  <c:v>0</c:v>
                </c:pt>
                <c:pt idx="8">
                  <c:v>0</c:v>
                </c:pt>
                <c:pt idx="9">
                  <c:v>308</c:v>
                </c:pt>
                <c:pt idx="10">
                  <c:v>0</c:v>
                </c:pt>
                <c:pt idx="11">
                  <c:v>0</c:v>
                </c:pt>
                <c:pt idx="12">
                  <c:v>0</c:v>
                </c:pt>
              </c:numCache>
            </c:numRef>
          </c:val>
          <c:extLst>
            <c:ext xmlns:c16="http://schemas.microsoft.com/office/drawing/2014/chart" uri="{C3380CC4-5D6E-409C-BE32-E72D297353CC}">
              <c16:uniqueId val="{0000000E-FEB9-4654-8A2F-05F064C4D2EE}"/>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#,##0;\(#,##0\)</c:formatCode>
                <c:ptCount val="13"/>
                <c:pt idx="0">
                  <c:v>3514.4</c:v>
                </c:pt>
                <c:pt idx="1">
                  <c:v>3974.4</c:v>
                </c:pt>
                <c:pt idx="2">
                  <c:v>2439.1999999999998</c:v>
                </c:pt>
                <c:pt idx="3">
                  <c:v>6590.7</c:v>
                </c:pt>
                <c:pt idx="4">
                  <c:v>17285.900000000001</c:v>
                </c:pt>
                <c:pt idx="5">
                  <c:v>8829.7999999999993</c:v>
                </c:pt>
                <c:pt idx="6">
                  <c:v>15027.8</c:v>
                </c:pt>
                <c:pt idx="7">
                  <c:v>5587.1</c:v>
                </c:pt>
                <c:pt idx="8">
                  <c:v>13252.9</c:v>
                </c:pt>
                <c:pt idx="9">
                  <c:v>5966.6</c:v>
                </c:pt>
                <c:pt idx="10">
                  <c:v>583</c:v>
                </c:pt>
                <c:pt idx="11">
                  <c:v>837.6</c:v>
                </c:pt>
                <c:pt idx="12">
                  <c:v>3429</c:v>
                </c:pt>
              </c:numCache>
            </c:numRef>
          </c:val>
          <c:extLst>
            <c:ext xmlns:c16="http://schemas.microsoft.com/office/drawing/2014/chart" uri="{C3380CC4-5D6E-409C-BE32-E72D297353CC}">
              <c16:uniqueId val="{00000010-FEB9-4654-8A2F-05F064C4D2EE}"/>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#,##0;\(#,##0\)</c:formatCode>
                <c:ptCount val="13"/>
                <c:pt idx="0">
                  <c:v>0</c:v>
                </c:pt>
                <c:pt idx="1">
                  <c:v>0</c:v>
                </c:pt>
                <c:pt idx="2">
                  <c:v>0</c:v>
                </c:pt>
                <c:pt idx="3">
                  <c:v>0</c:v>
                </c:pt>
                <c:pt idx="4">
                  <c:v>0</c:v>
                </c:pt>
                <c:pt idx="5">
                  <c:v>0</c:v>
                </c:pt>
                <c:pt idx="6">
                  <c:v>0</c:v>
                </c:pt>
                <c:pt idx="7">
                  <c:v>0</c:v>
                </c:pt>
                <c:pt idx="8">
                  <c:v>0</c:v>
                </c:pt>
                <c:pt idx="9">
                  <c:v>242.7</c:v>
                </c:pt>
                <c:pt idx="10">
                  <c:v>820.6</c:v>
                </c:pt>
                <c:pt idx="11">
                  <c:v>588.70000000000005</c:v>
                </c:pt>
                <c:pt idx="12">
                  <c:v>844.6</c:v>
                </c:pt>
              </c:numCache>
            </c:numRef>
          </c:val>
          <c:extLst>
            <c:ext xmlns:c16="http://schemas.microsoft.com/office/drawing/2014/chart" uri="{C3380CC4-5D6E-409C-BE32-E72D297353CC}">
              <c16:uniqueId val="{00000001-BD0D-46F6-80D1-8CF18156FB2C}"/>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#,##0;\(#,##0\)</c:formatCode>
                <c:ptCount val="13"/>
                <c:pt idx="0">
                  <c:v>2604.4</c:v>
                </c:pt>
                <c:pt idx="1">
                  <c:v>1656.1</c:v>
                </c:pt>
                <c:pt idx="2">
                  <c:v>1728.9</c:v>
                </c:pt>
                <c:pt idx="3">
                  <c:v>4491.3999999999996</c:v>
                </c:pt>
                <c:pt idx="4">
                  <c:v>4948.3999999999996</c:v>
                </c:pt>
                <c:pt idx="5">
                  <c:v>4108.3</c:v>
                </c:pt>
                <c:pt idx="6">
                  <c:v>3881.8</c:v>
                </c:pt>
                <c:pt idx="7">
                  <c:v>2395.8000000000002</c:v>
                </c:pt>
                <c:pt idx="8">
                  <c:v>2369.3000000000002</c:v>
                </c:pt>
                <c:pt idx="9">
                  <c:v>2467.9</c:v>
                </c:pt>
                <c:pt idx="10">
                  <c:v>3355.5</c:v>
                </c:pt>
                <c:pt idx="11">
                  <c:v>2291.6999999999998</c:v>
                </c:pt>
                <c:pt idx="12">
                  <c:v>1202</c:v>
                </c:pt>
              </c:numCache>
            </c:numRef>
          </c:val>
          <c:extLst>
            <c:ext xmlns:c16="http://schemas.microsoft.com/office/drawing/2014/chart" uri="{C3380CC4-5D6E-409C-BE32-E72D297353CC}">
              <c16:uniqueId val="{00000016-FEB9-4654-8A2F-05F064C4D2EE}"/>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#,##0;\(#,##0\)</c:formatCode>
                <c:ptCount val="13"/>
                <c:pt idx="0">
                  <c:v>27832.9</c:v>
                </c:pt>
                <c:pt idx="1">
                  <c:v>46445.599999999999</c:v>
                </c:pt>
                <c:pt idx="2">
                  <c:v>67319.100000000006</c:v>
                </c:pt>
                <c:pt idx="3">
                  <c:v>66634.7</c:v>
                </c:pt>
                <c:pt idx="4">
                  <c:v>56267.3</c:v>
                </c:pt>
                <c:pt idx="5">
                  <c:v>51644.4</c:v>
                </c:pt>
                <c:pt idx="6">
                  <c:v>121172.4</c:v>
                </c:pt>
                <c:pt idx="7">
                  <c:v>45324.7</c:v>
                </c:pt>
                <c:pt idx="8">
                  <c:v>86223.9</c:v>
                </c:pt>
                <c:pt idx="9">
                  <c:v>68222.2</c:v>
                </c:pt>
                <c:pt idx="10">
                  <c:v>231610.6</c:v>
                </c:pt>
                <c:pt idx="11">
                  <c:v>118243.7</c:v>
                </c:pt>
                <c:pt idx="12">
                  <c:v>118105.1</c:v>
                </c:pt>
              </c:numCache>
            </c:numRef>
          </c:val>
          <c:extLst>
            <c:ext xmlns:c16="http://schemas.microsoft.com/office/drawing/2014/chart" uri="{C3380CC4-5D6E-409C-BE32-E72D297353CC}">
              <c16:uniqueId val="{00000012-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#,##0;\(#,##0\)</c:formatCode>
                <c:ptCount val="13"/>
                <c:pt idx="0">
                  <c:v>54.8</c:v>
                </c:pt>
                <c:pt idx="1">
                  <c:v>96.4</c:v>
                </c:pt>
                <c:pt idx="2">
                  <c:v>0</c:v>
                </c:pt>
                <c:pt idx="3">
                  <c:v>4999.6000000000004</c:v>
                </c:pt>
                <c:pt idx="4">
                  <c:v>2274.3000000000002</c:v>
                </c:pt>
                <c:pt idx="5">
                  <c:v>1971.9</c:v>
                </c:pt>
                <c:pt idx="6">
                  <c:v>9240.7999999999993</c:v>
                </c:pt>
                <c:pt idx="7">
                  <c:v>2766.6</c:v>
                </c:pt>
                <c:pt idx="8">
                  <c:v>4253.3</c:v>
                </c:pt>
                <c:pt idx="9">
                  <c:v>1216.3</c:v>
                </c:pt>
                <c:pt idx="10">
                  <c:v>274.10000000000002</c:v>
                </c:pt>
                <c:pt idx="11">
                  <c:v>678.2</c:v>
                </c:pt>
                <c:pt idx="12">
                  <c:v>1474.8</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#,##0;\(#,##0\)</c:formatCode>
                <c:ptCount val="13"/>
                <c:pt idx="0">
                  <c:v>0</c:v>
                </c:pt>
                <c:pt idx="1">
                  <c:v>0</c:v>
                </c:pt>
                <c:pt idx="2">
                  <c:v>0</c:v>
                </c:pt>
                <c:pt idx="3">
                  <c:v>60.4</c:v>
                </c:pt>
                <c:pt idx="4">
                  <c:v>344</c:v>
                </c:pt>
                <c:pt idx="5">
                  <c:v>0</c:v>
                </c:pt>
                <c:pt idx="6">
                  <c:v>150</c:v>
                </c:pt>
                <c:pt idx="7">
                  <c:v>100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#,##0;\(#,##0\)</c:formatCode>
                <c:ptCount val="13"/>
                <c:pt idx="0">
                  <c:v>744.1</c:v>
                </c:pt>
                <c:pt idx="1">
                  <c:v>2304.9</c:v>
                </c:pt>
                <c:pt idx="2">
                  <c:v>3767.6</c:v>
                </c:pt>
                <c:pt idx="3">
                  <c:v>35531.300000000003</c:v>
                </c:pt>
                <c:pt idx="4">
                  <c:v>48396.6</c:v>
                </c:pt>
                <c:pt idx="5">
                  <c:v>30094.799999999999</c:v>
                </c:pt>
                <c:pt idx="6">
                  <c:v>57890.400000000001</c:v>
                </c:pt>
                <c:pt idx="7">
                  <c:v>34473.199999999997</c:v>
                </c:pt>
                <c:pt idx="8">
                  <c:v>19002.7</c:v>
                </c:pt>
                <c:pt idx="9">
                  <c:v>16033.9</c:v>
                </c:pt>
                <c:pt idx="10">
                  <c:v>28940.6</c:v>
                </c:pt>
                <c:pt idx="11">
                  <c:v>9850</c:v>
                </c:pt>
                <c:pt idx="12">
                  <c:v>23597.4</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#,##0;\(#,##0\)</c:formatCode>
                <c:ptCount val="13"/>
                <c:pt idx="0">
                  <c:v>3.7</c:v>
                </c:pt>
                <c:pt idx="1">
                  <c:v>236.9</c:v>
                </c:pt>
                <c:pt idx="2">
                  <c:v>161.80000000000001</c:v>
                </c:pt>
                <c:pt idx="3">
                  <c:v>6002.7</c:v>
                </c:pt>
                <c:pt idx="4">
                  <c:v>29937.8</c:v>
                </c:pt>
                <c:pt idx="5">
                  <c:v>30825.7</c:v>
                </c:pt>
                <c:pt idx="6">
                  <c:v>133882.4</c:v>
                </c:pt>
                <c:pt idx="7">
                  <c:v>45551.6</c:v>
                </c:pt>
                <c:pt idx="8">
                  <c:v>4378</c:v>
                </c:pt>
                <c:pt idx="9">
                  <c:v>4831.1000000000004</c:v>
                </c:pt>
                <c:pt idx="10">
                  <c:v>1321.5</c:v>
                </c:pt>
                <c:pt idx="11">
                  <c:v>3510.4</c:v>
                </c:pt>
                <c:pt idx="12">
                  <c:v>2970.4</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324394"/>
            </a:solidFill>
          </c:spPr>
          <c:invertIfNegative val="0"/>
          <c:val>
            <c:numRef>
              <c:f>Dat_01!$C$155:$O$155</c:f>
              <c:numCache>
                <c:formatCode>#,##0;\(#,##0\)</c:formatCode>
                <c:ptCount val="13"/>
                <c:pt idx="0">
                  <c:v>0</c:v>
                </c:pt>
                <c:pt idx="1">
                  <c:v>0</c:v>
                </c:pt>
                <c:pt idx="2">
                  <c:v>0</c:v>
                </c:pt>
                <c:pt idx="3">
                  <c:v>10002.299999999999</c:v>
                </c:pt>
                <c:pt idx="4">
                  <c:v>128</c:v>
                </c:pt>
                <c:pt idx="5">
                  <c:v>0</c:v>
                </c:pt>
                <c:pt idx="6">
                  <c:v>0</c:v>
                </c:pt>
                <c:pt idx="7">
                  <c:v>0</c:v>
                </c:pt>
                <c:pt idx="8">
                  <c:v>464</c:v>
                </c:pt>
                <c:pt idx="9">
                  <c:v>0</c:v>
                </c:pt>
                <c:pt idx="10">
                  <c:v>1125.2</c:v>
                </c:pt>
                <c:pt idx="11">
                  <c:v>346.9</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63.564597305100001</c:v>
                </c:pt>
                <c:pt idx="1">
                  <c:v>33.649477987399997</c:v>
                </c:pt>
                <c:pt idx="2">
                  <c:v>10.5530860804</c:v>
                </c:pt>
                <c:pt idx="3">
                  <c:v>4.7369239244000001</c:v>
                </c:pt>
                <c:pt idx="4">
                  <c:v>18.889523041299999</c:v>
                </c:pt>
                <c:pt idx="5">
                  <c:v>35.244959526499997</c:v>
                </c:pt>
                <c:pt idx="6">
                  <c:v>63.399845817299997</c:v>
                </c:pt>
                <c:pt idx="7">
                  <c:v>86.755411534900006</c:v>
                </c:pt>
                <c:pt idx="8">
                  <c:v>67.661076487499997</c:v>
                </c:pt>
                <c:pt idx="9">
                  <c:v>62.673256377999998</c:v>
                </c:pt>
                <c:pt idx="10">
                  <c:v>92.2735799222</c:v>
                </c:pt>
                <c:pt idx="11">
                  <c:v>93.843193179599993</c:v>
                </c:pt>
                <c:pt idx="12">
                  <c:v>83.688895800300003</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5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Dat_01!$B$183:$N$183</c:f>
              <c:numCache>
                <c:formatCode>#,##0</c:formatCode>
                <c:ptCount val="13"/>
                <c:pt idx="0">
                  <c:v>823.45698924732505</c:v>
                </c:pt>
                <c:pt idx="1">
                  <c:v>822.22126436782503</c:v>
                </c:pt>
                <c:pt idx="2">
                  <c:v>819.6032974428</c:v>
                </c:pt>
                <c:pt idx="3">
                  <c:v>822.60972222222495</c:v>
                </c:pt>
                <c:pt idx="4">
                  <c:v>860.69455645162498</c:v>
                </c:pt>
                <c:pt idx="5">
                  <c:v>909.48680555554995</c:v>
                </c:pt>
                <c:pt idx="6">
                  <c:v>895.87533602149995</c:v>
                </c:pt>
                <c:pt idx="7">
                  <c:v>896.60181451612505</c:v>
                </c:pt>
                <c:pt idx="8">
                  <c:v>904.94791666667504</c:v>
                </c:pt>
                <c:pt idx="9">
                  <c:v>1016.8244966443</c:v>
                </c:pt>
                <c:pt idx="10">
                  <c:v>1101.9777298850499</c:v>
                </c:pt>
                <c:pt idx="11">
                  <c:v>1182.3212365591501</c:v>
                </c:pt>
                <c:pt idx="12">
                  <c:v>1150.9126344086001</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34.116235347100002</c:v>
                </c:pt>
                <c:pt idx="1">
                  <c:v>30.391169692999998</c:v>
                </c:pt>
                <c:pt idx="2">
                  <c:v>27.609046432</c:v>
                </c:pt>
                <c:pt idx="3">
                  <c:v>24.197217951799999</c:v>
                </c:pt>
                <c:pt idx="4">
                  <c:v>28.805418648700002</c:v>
                </c:pt>
                <c:pt idx="5">
                  <c:v>46.174349017799997</c:v>
                </c:pt>
                <c:pt idx="6">
                  <c:v>28.550093757900001</c:v>
                </c:pt>
                <c:pt idx="7">
                  <c:v>27.663462874099999</c:v>
                </c:pt>
                <c:pt idx="8">
                  <c:v>32.211216648799997</c:v>
                </c:pt>
                <c:pt idx="9">
                  <c:v>40.765020854699998</c:v>
                </c:pt>
                <c:pt idx="10">
                  <c:v>38.264322053299999</c:v>
                </c:pt>
                <c:pt idx="11">
                  <c:v>57.2527025045</c:v>
                </c:pt>
                <c:pt idx="12">
                  <c:v>51.890255956300003</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2"/>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2"/>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823.64112903224998</c:v>
                </c:pt>
                <c:pt idx="1">
                  <c:v>823.20258620690004</c:v>
                </c:pt>
                <c:pt idx="2">
                  <c:v>821.91823687752503</c:v>
                </c:pt>
                <c:pt idx="3">
                  <c:v>825.41666666667504</c:v>
                </c:pt>
                <c:pt idx="4">
                  <c:v>863.35450268817499</c:v>
                </c:pt>
                <c:pt idx="5">
                  <c:v>912.17291666667495</c:v>
                </c:pt>
                <c:pt idx="6">
                  <c:v>897.59307795699999</c:v>
                </c:pt>
                <c:pt idx="7">
                  <c:v>897.21471774192503</c:v>
                </c:pt>
                <c:pt idx="8">
                  <c:v>906.32291666667504</c:v>
                </c:pt>
                <c:pt idx="9">
                  <c:v>1012.71845637585</c:v>
                </c:pt>
                <c:pt idx="10">
                  <c:v>1102.260775862075</c:v>
                </c:pt>
                <c:pt idx="11">
                  <c:v>1174.3723118279499</c:v>
                </c:pt>
                <c:pt idx="12">
                  <c:v>1129.192204301075</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pt idx="10">
                  <c:v>45.035521148100003</c:v>
                </c:pt>
                <c:pt idx="11">
                  <c:v>33.672806635400001</c:v>
                </c:pt>
                <c:pt idx="12">
                  <c:v>37.464347836400002</c:v>
                </c:pt>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1440999263"/>
        <c:axId val="1441007903"/>
      </c:lineChart>
      <c:valAx>
        <c:axId val="403143752"/>
        <c:scaling>
          <c:orientation val="maxMin"/>
          <c:max val="1200"/>
          <c:min val="0"/>
        </c:scaling>
        <c:delete val="0"/>
        <c:axPos val="l"/>
        <c:majorGridlines>
          <c:spPr>
            <a:ln>
              <a:prstDash val="sysDot"/>
            </a:ln>
          </c:spPr>
        </c:majorGridlines>
        <c:numFmt formatCode="#,##0" sourceLinked="0"/>
        <c:majorTickMark val="out"/>
        <c:minorTickMark val="none"/>
        <c:tickLblPos val="nextTo"/>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valAx>
        <c:axId val="1441007903"/>
        <c:scaling>
          <c:orientation val="maxMin"/>
          <c:max val="72"/>
        </c:scaling>
        <c:delete val="0"/>
        <c:axPos val="r"/>
        <c:numFmt formatCode="#,##0" sourceLinked="0"/>
        <c:majorTickMark val="out"/>
        <c:minorTickMark val="none"/>
        <c:tickLblPos val="nextTo"/>
        <c:spPr>
          <a:ln>
            <a:noFill/>
          </a:ln>
        </c:spPr>
        <c:crossAx val="1440999263"/>
        <c:crosses val="max"/>
        <c:crossBetween val="between"/>
        <c:majorUnit val="12"/>
      </c:valAx>
      <c:catAx>
        <c:axId val="1440999263"/>
        <c:scaling>
          <c:orientation val="minMax"/>
        </c:scaling>
        <c:delete val="1"/>
        <c:axPos val="t"/>
        <c:majorTickMark val="out"/>
        <c:minorTickMark val="none"/>
        <c:tickLblPos val="nextTo"/>
        <c:crossAx val="1441007903"/>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Dat_01!$B$192:$N$192</c:f>
              <c:numCache>
                <c:formatCode>#,##0;\(#,##0\)</c:formatCode>
                <c:ptCount val="13"/>
                <c:pt idx="0">
                  <c:v>222.36382499999999</c:v>
                </c:pt>
                <c:pt idx="1">
                  <c:v>246.44477499999999</c:v>
                </c:pt>
                <c:pt idx="2">
                  <c:v>265.50565</c:v>
                </c:pt>
                <c:pt idx="3">
                  <c:v>253.72047499999999</c:v>
                </c:pt>
                <c:pt idx="4">
                  <c:v>255.9136</c:v>
                </c:pt>
                <c:pt idx="5">
                  <c:v>200.79612499999999</c:v>
                </c:pt>
                <c:pt idx="6">
                  <c:v>219.31675000000001</c:v>
                </c:pt>
                <c:pt idx="7">
                  <c:v>174.548475</c:v>
                </c:pt>
                <c:pt idx="8">
                  <c:v>172.08167499999999</c:v>
                </c:pt>
                <c:pt idx="9">
                  <c:v>201.38062500000001</c:v>
                </c:pt>
                <c:pt idx="10">
                  <c:v>135.71709799999999</c:v>
                </c:pt>
                <c:pt idx="11">
                  <c:v>89.916922</c:v>
                </c:pt>
                <c:pt idx="12">
                  <c:v>75.798308000000006</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2024 Enero</c:v>
                </c:pt>
                <c:pt idx="1">
                  <c:v>2024 Febrero</c:v>
                </c:pt>
                <c:pt idx="2">
                  <c:v>2024 Marzo</c:v>
                </c:pt>
                <c:pt idx="3">
                  <c:v>2024 Abril</c:v>
                </c:pt>
                <c:pt idx="4">
                  <c:v>2024 Mayo</c:v>
                </c:pt>
                <c:pt idx="5">
                  <c:v>2024 Junio</c:v>
                </c:pt>
                <c:pt idx="6">
                  <c:v>2024 Julio</c:v>
                </c:pt>
                <c:pt idx="7">
                  <c:v>2024 Agosto</c:v>
                </c:pt>
                <c:pt idx="8">
                  <c:v>2024 Septiembre</c:v>
                </c:pt>
                <c:pt idx="9">
                  <c:v>2024 Octubre</c:v>
                </c:pt>
                <c:pt idx="10">
                  <c:v>2024 Noviembre</c:v>
                </c:pt>
                <c:pt idx="11">
                  <c:v>2024 Diciembre</c:v>
                </c:pt>
                <c:pt idx="12">
                  <c:v>2025 Enero</c:v>
                </c:pt>
              </c:strCache>
            </c:strRef>
          </c:cat>
          <c:val>
            <c:numRef>
              <c:f>Dat_01!$C$414:$O$414</c:f>
              <c:numCache>
                <c:formatCode>#,##0.00</c:formatCode>
                <c:ptCount val="13"/>
                <c:pt idx="0">
                  <c:v>87.041140710500002</c:v>
                </c:pt>
                <c:pt idx="1">
                  <c:v>49.255281875999998</c:v>
                </c:pt>
                <c:pt idx="2">
                  <c:v>25.498564616199999</c:v>
                </c:pt>
                <c:pt idx="3">
                  <c:v>23.263243803999998</c:v>
                </c:pt>
                <c:pt idx="4">
                  <c:v>51.878559897800002</c:v>
                </c:pt>
                <c:pt idx="5">
                  <c:v>79.512672150699998</c:v>
                </c:pt>
                <c:pt idx="6">
                  <c:v>86.649319574299994</c:v>
                </c:pt>
                <c:pt idx="7">
                  <c:v>102.8039265768</c:v>
                </c:pt>
                <c:pt idx="8">
                  <c:v>88.768818947499994</c:v>
                </c:pt>
                <c:pt idx="9">
                  <c:v>88.323514448099999</c:v>
                </c:pt>
                <c:pt idx="10">
                  <c:v>107.14911147159999</c:v>
                </c:pt>
                <c:pt idx="11">
                  <c:v>138.76353913809999</c:v>
                </c:pt>
                <c:pt idx="12">
                  <c:v>132.86955354610001</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Dat_01!$B$191:$N$191</c:f>
              <c:numCache>
                <c:formatCode>#,##0;\(#,##0\)</c:formatCode>
                <c:ptCount val="13"/>
                <c:pt idx="0">
                  <c:v>128.19069999999999</c:v>
                </c:pt>
                <c:pt idx="1">
                  <c:v>110.41272499999999</c:v>
                </c:pt>
                <c:pt idx="2">
                  <c:v>137.99905000000001</c:v>
                </c:pt>
                <c:pt idx="3">
                  <c:v>142.64092500000001</c:v>
                </c:pt>
                <c:pt idx="4">
                  <c:v>129.96244999999999</c:v>
                </c:pt>
                <c:pt idx="5">
                  <c:v>140.64422500000001</c:v>
                </c:pt>
                <c:pt idx="6">
                  <c:v>145.18279999999999</c:v>
                </c:pt>
                <c:pt idx="7">
                  <c:v>180.042475</c:v>
                </c:pt>
                <c:pt idx="8">
                  <c:v>165.537925</c:v>
                </c:pt>
                <c:pt idx="9">
                  <c:v>131.49952500000001</c:v>
                </c:pt>
                <c:pt idx="10">
                  <c:v>91.061660000000003</c:v>
                </c:pt>
                <c:pt idx="11">
                  <c:v>58.433557</c:v>
                </c:pt>
                <c:pt idx="12">
                  <c:v>78.902215999999996</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41.148505531200001</c:v>
                </c:pt>
                <c:pt idx="1">
                  <c:v>12.454618358099999</c:v>
                </c:pt>
                <c:pt idx="2">
                  <c:v>6.3259059483</c:v>
                </c:pt>
                <c:pt idx="3">
                  <c:v>-82.978499038799995</c:v>
                </c:pt>
                <c:pt idx="4">
                  <c:v>8.8440810864999992</c:v>
                </c:pt>
                <c:pt idx="5">
                  <c:v>25.188011158999998</c:v>
                </c:pt>
                <c:pt idx="6">
                  <c:v>46.176107250699999</c:v>
                </c:pt>
                <c:pt idx="7">
                  <c:v>52.021473464800003</c:v>
                </c:pt>
                <c:pt idx="8">
                  <c:v>33.235310798100002</c:v>
                </c:pt>
                <c:pt idx="9">
                  <c:v>26.148324822799999</c:v>
                </c:pt>
                <c:pt idx="10">
                  <c:v>66.941169858400002</c:v>
                </c:pt>
                <c:pt idx="11">
                  <c:v>57.073603840700002</c:v>
                </c:pt>
                <c:pt idx="12">
                  <c:v>25.114163045200002</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Dat_01!$C$218:$O$218</c:f>
              <c:numCache>
                <c:formatCode>#,##0.0</c:formatCode>
                <c:ptCount val="13"/>
                <c:pt idx="0">
                  <c:v>673.35</c:v>
                </c:pt>
                <c:pt idx="1">
                  <c:v>128.25</c:v>
                </c:pt>
                <c:pt idx="2">
                  <c:v>205.75</c:v>
                </c:pt>
                <c:pt idx="3">
                  <c:v>108.416</c:v>
                </c:pt>
                <c:pt idx="4">
                  <c:v>0</c:v>
                </c:pt>
                <c:pt idx="5">
                  <c:v>28.875</c:v>
                </c:pt>
                <c:pt idx="6">
                  <c:v>43.225000000000001</c:v>
                </c:pt>
                <c:pt idx="7">
                  <c:v>24.35</c:v>
                </c:pt>
                <c:pt idx="8">
                  <c:v>50.225000000000001</c:v>
                </c:pt>
                <c:pt idx="9">
                  <c:v>78.75</c:v>
                </c:pt>
                <c:pt idx="10">
                  <c:v>484.8</c:v>
                </c:pt>
                <c:pt idx="11">
                  <c:v>289.85000000000002</c:v>
                </c:pt>
                <c:pt idx="12">
                  <c:v>938.7</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Dat_01!$C$219:$O$219</c:f>
              <c:numCache>
                <c:formatCode>#,##0.0</c:formatCode>
                <c:ptCount val="13"/>
                <c:pt idx="0">
                  <c:v>45550.095000000001</c:v>
                </c:pt>
                <c:pt idx="1">
                  <c:v>15727.6</c:v>
                </c:pt>
                <c:pt idx="2">
                  <c:v>18188.05</c:v>
                </c:pt>
                <c:pt idx="3">
                  <c:v>7771.009</c:v>
                </c:pt>
                <c:pt idx="4">
                  <c:v>5794.3</c:v>
                </c:pt>
                <c:pt idx="5">
                  <c:v>17066.666000000001</c:v>
                </c:pt>
                <c:pt idx="6">
                  <c:v>18884.698</c:v>
                </c:pt>
                <c:pt idx="7">
                  <c:v>30465.23</c:v>
                </c:pt>
                <c:pt idx="8">
                  <c:v>26552.251</c:v>
                </c:pt>
                <c:pt idx="9">
                  <c:v>33915.699999999997</c:v>
                </c:pt>
                <c:pt idx="10">
                  <c:v>38070.457999999999</c:v>
                </c:pt>
                <c:pt idx="11">
                  <c:v>42667.476000000002</c:v>
                </c:pt>
                <c:pt idx="12">
                  <c:v>78421.95</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Dat_01!$C$220:$O$220</c:f>
              <c:numCache>
                <c:formatCode>#,##0.0</c:formatCode>
                <c:ptCount val="13"/>
                <c:pt idx="0">
                  <c:v>276.35000000000002</c:v>
                </c:pt>
                <c:pt idx="1">
                  <c:v>583.46299999999997</c:v>
                </c:pt>
                <c:pt idx="2">
                  <c:v>527.45699999999999</c:v>
                </c:pt>
                <c:pt idx="3">
                  <c:v>557.76400000000001</c:v>
                </c:pt>
                <c:pt idx="4">
                  <c:v>686.75300000000004</c:v>
                </c:pt>
                <c:pt idx="5">
                  <c:v>663.923</c:v>
                </c:pt>
                <c:pt idx="6">
                  <c:v>535.89800000000002</c:v>
                </c:pt>
                <c:pt idx="7">
                  <c:v>464.19200000000001</c:v>
                </c:pt>
                <c:pt idx="8">
                  <c:v>423.447</c:v>
                </c:pt>
                <c:pt idx="9">
                  <c:v>758.50800000000004</c:v>
                </c:pt>
                <c:pt idx="10">
                  <c:v>689.47500000000002</c:v>
                </c:pt>
                <c:pt idx="11">
                  <c:v>935.173</c:v>
                </c:pt>
                <c:pt idx="12">
                  <c:v>668.6</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Dat_01!$C$221:$O$221</c:f>
              <c:numCache>
                <c:formatCode>#,##0.0</c:formatCode>
                <c:ptCount val="13"/>
                <c:pt idx="0">
                  <c:v>79325.524999999994</c:v>
                </c:pt>
                <c:pt idx="1">
                  <c:v>82022.430999999997</c:v>
                </c:pt>
                <c:pt idx="2">
                  <c:v>45802.294000000002</c:v>
                </c:pt>
                <c:pt idx="3">
                  <c:v>40764.557000000001</c:v>
                </c:pt>
                <c:pt idx="4">
                  <c:v>48624.482000000004</c:v>
                </c:pt>
                <c:pt idx="5">
                  <c:v>41321.692000000003</c:v>
                </c:pt>
                <c:pt idx="6">
                  <c:v>25771.183000000001</c:v>
                </c:pt>
                <c:pt idx="7">
                  <c:v>38344.226999999999</c:v>
                </c:pt>
                <c:pt idx="8">
                  <c:v>45577.822999999997</c:v>
                </c:pt>
                <c:pt idx="9">
                  <c:v>54566.771000000001</c:v>
                </c:pt>
                <c:pt idx="10">
                  <c:v>41349.216999999997</c:v>
                </c:pt>
                <c:pt idx="11">
                  <c:v>35243.148999999998</c:v>
                </c:pt>
                <c:pt idx="12">
                  <c:v>53314.275000000001</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Dat_01!$C$223:$O$223</c:f>
              <c:numCache>
                <c:formatCode>#,##0.0</c:formatCode>
                <c:ptCount val="13"/>
                <c:pt idx="0">
                  <c:v>42752.623</c:v>
                </c:pt>
                <c:pt idx="1">
                  <c:v>74658.864000000001</c:v>
                </c:pt>
                <c:pt idx="2">
                  <c:v>81347.735000000001</c:v>
                </c:pt>
                <c:pt idx="3">
                  <c:v>132414.59400000001</c:v>
                </c:pt>
                <c:pt idx="4">
                  <c:v>77983.278000000006</c:v>
                </c:pt>
                <c:pt idx="5">
                  <c:v>42036.362000000001</c:v>
                </c:pt>
                <c:pt idx="6">
                  <c:v>28492.343000000001</c:v>
                </c:pt>
                <c:pt idx="7">
                  <c:v>34129.855000000003</c:v>
                </c:pt>
                <c:pt idx="8">
                  <c:v>73676.551000000007</c:v>
                </c:pt>
                <c:pt idx="9">
                  <c:v>80386.748999999996</c:v>
                </c:pt>
                <c:pt idx="10">
                  <c:v>42290.15</c:v>
                </c:pt>
                <c:pt idx="11">
                  <c:v>50300.607000000004</c:v>
                </c:pt>
                <c:pt idx="12">
                  <c:v>95848.875</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Dat_01!$C$226:$O$226</c:f>
              <c:numCache>
                <c:formatCode>#,##0.0</c:formatCode>
                <c:ptCount val="13"/>
                <c:pt idx="0">
                  <c:v>26953.973000000002</c:v>
                </c:pt>
                <c:pt idx="1">
                  <c:v>55885.535000000003</c:v>
                </c:pt>
                <c:pt idx="2">
                  <c:v>38845.872000000003</c:v>
                </c:pt>
                <c:pt idx="3">
                  <c:v>39903.578000000001</c:v>
                </c:pt>
                <c:pt idx="4">
                  <c:v>23028.602999999999</c:v>
                </c:pt>
                <c:pt idx="5">
                  <c:v>24414.344000000001</c:v>
                </c:pt>
                <c:pt idx="6">
                  <c:v>18123.583999999999</c:v>
                </c:pt>
                <c:pt idx="7">
                  <c:v>20826.226999999999</c:v>
                </c:pt>
                <c:pt idx="8">
                  <c:v>23009.672999999999</c:v>
                </c:pt>
                <c:pt idx="9">
                  <c:v>45128.546000000002</c:v>
                </c:pt>
                <c:pt idx="10">
                  <c:v>28604.075000000001</c:v>
                </c:pt>
                <c:pt idx="11">
                  <c:v>51705.65</c:v>
                </c:pt>
                <c:pt idx="12">
                  <c:v>50536.925000000003</c:v>
                </c:pt>
              </c:numCache>
            </c:numRef>
          </c:val>
          <c:extLst>
            <c:ext xmlns:c16="http://schemas.microsoft.com/office/drawing/2014/chart" uri="{C3380CC4-5D6E-409C-BE32-E72D297353CC}">
              <c16:uniqueId val="{00000005-BED9-452D-8454-5CC367FCBEF2}"/>
            </c:ext>
          </c:extLst>
        </c:ser>
        <c:ser>
          <c:idx val="10"/>
          <c:order val="8"/>
          <c:tx>
            <c:strRef>
              <c:f>Dat_01!$B$228</c:f>
              <c:strCache>
                <c:ptCount val="1"/>
                <c:pt idx="0">
                  <c:v>Internacionales</c:v>
                </c:pt>
              </c:strCache>
              <c:extLst xmlns:c15="http://schemas.microsoft.com/office/drawing/2012/chart"/>
            </c:strRef>
          </c:tx>
          <c:spPr>
            <a:solidFill>
              <a:srgbClr val="E5DDB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Dat_01!$C$228:$O$228</c:f>
              <c:numCache>
                <c:formatCode>#,##0.0</c:formatCode>
                <c:ptCount val="13"/>
                <c:pt idx="0">
                  <c:v>0</c:v>
                </c:pt>
                <c:pt idx="1">
                  <c:v>0</c:v>
                </c:pt>
                <c:pt idx="2">
                  <c:v>0</c:v>
                </c:pt>
                <c:pt idx="3">
                  <c:v>0</c:v>
                </c:pt>
                <c:pt idx="4">
                  <c:v>0</c:v>
                </c:pt>
                <c:pt idx="5">
                  <c:v>0</c:v>
                </c:pt>
                <c:pt idx="6">
                  <c:v>0</c:v>
                </c:pt>
                <c:pt idx="7">
                  <c:v>0</c:v>
                </c:pt>
                <c:pt idx="8">
                  <c:v>0</c:v>
                </c:pt>
                <c:pt idx="9">
                  <c:v>0</c:v>
                </c:pt>
                <c:pt idx="10">
                  <c:v>0</c:v>
                </c:pt>
                <c:pt idx="11">
                  <c:v>6955.3249999999998</c:v>
                </c:pt>
                <c:pt idx="12">
                  <c:v>26087.775000000001</c:v>
                </c:pt>
              </c:numCache>
              <c:extLst xmlns:c15="http://schemas.microsoft.com/office/drawing/2012/chart"/>
            </c:numRef>
          </c:val>
          <c:extLst xmlns:c15="http://schemas.microsoft.com/office/drawing/2012/chart">
            <c:ext xmlns:c16="http://schemas.microsoft.com/office/drawing/2014/chart" uri="{C3380CC4-5D6E-409C-BE32-E72D297353CC}">
              <c16:uniqueId val="{0000000D-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Dat_01!$C$229:$O$229</c:f>
              <c:numCache>
                <c:formatCode>#,##0.0</c:formatCode>
                <c:ptCount val="13"/>
                <c:pt idx="0">
                  <c:v>125.625</c:v>
                </c:pt>
                <c:pt idx="1">
                  <c:v>733.57500000000005</c:v>
                </c:pt>
                <c:pt idx="2">
                  <c:v>296.55</c:v>
                </c:pt>
                <c:pt idx="3">
                  <c:v>772.65</c:v>
                </c:pt>
                <c:pt idx="4">
                  <c:v>418.625</c:v>
                </c:pt>
                <c:pt idx="5">
                  <c:v>350.47500000000002</c:v>
                </c:pt>
                <c:pt idx="6">
                  <c:v>226.30799999999999</c:v>
                </c:pt>
                <c:pt idx="7">
                  <c:v>0.4</c:v>
                </c:pt>
                <c:pt idx="8">
                  <c:v>140</c:v>
                </c:pt>
                <c:pt idx="9">
                  <c:v>0</c:v>
                </c:pt>
                <c:pt idx="10">
                  <c:v>176.42500000000001</c:v>
                </c:pt>
                <c:pt idx="11">
                  <c:v>415</c:v>
                </c:pt>
                <c:pt idx="12">
                  <c:v>798.25</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Dat_01!$C$230:$O$230</c:f>
              <c:numCache>
                <c:formatCode>#,##0.0</c:formatCode>
                <c:ptCount val="13"/>
                <c:pt idx="0">
                  <c:v>150.25</c:v>
                </c:pt>
                <c:pt idx="1">
                  <c:v>91.974999999999994</c:v>
                </c:pt>
                <c:pt idx="2">
                  <c:v>52.85</c:v>
                </c:pt>
                <c:pt idx="3">
                  <c:v>256.20800000000003</c:v>
                </c:pt>
                <c:pt idx="4">
                  <c:v>154.42500000000001</c:v>
                </c:pt>
                <c:pt idx="5">
                  <c:v>130.041</c:v>
                </c:pt>
                <c:pt idx="6">
                  <c:v>54.158000000000001</c:v>
                </c:pt>
                <c:pt idx="7">
                  <c:v>122.11</c:v>
                </c:pt>
                <c:pt idx="8">
                  <c:v>266.00099999999998</c:v>
                </c:pt>
                <c:pt idx="9">
                  <c:v>214.92400000000001</c:v>
                </c:pt>
                <c:pt idx="10">
                  <c:v>268.07499999999999</c:v>
                </c:pt>
                <c:pt idx="11">
                  <c:v>35.75</c:v>
                </c:pt>
                <c:pt idx="12">
                  <c:v>234</c:v>
                </c:pt>
              </c:numCache>
            </c:numRef>
          </c:val>
          <c:extLst>
            <c:ext xmlns:c16="http://schemas.microsoft.com/office/drawing/2014/chart" uri="{C3380CC4-5D6E-409C-BE32-E72D297353CC}">
              <c16:uniqueId val="{00000007-BED9-452D-8454-5CC367FCBEF2}"/>
            </c:ext>
          </c:extLst>
        </c:ser>
        <c:ser>
          <c:idx val="13"/>
          <c:order val="11"/>
          <c:tx>
            <c:strRef>
              <c:f>Dat_01!$B$231</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Dat_01!$C$231:$O$231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E-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Dat_01!$C$232:$O$232</c:f>
              <c:numCache>
                <c:formatCode>#,##0.0</c:formatCode>
                <c:ptCount val="13"/>
                <c:pt idx="0">
                  <c:v>18925.839</c:v>
                </c:pt>
                <c:pt idx="1">
                  <c:v>27726.135999999999</c:v>
                </c:pt>
                <c:pt idx="2">
                  <c:v>35845.794000000002</c:v>
                </c:pt>
                <c:pt idx="3">
                  <c:v>57108.222000000002</c:v>
                </c:pt>
                <c:pt idx="4">
                  <c:v>74394.532000000007</c:v>
                </c:pt>
                <c:pt idx="5">
                  <c:v>44510.667000000001</c:v>
                </c:pt>
                <c:pt idx="6">
                  <c:v>33083.256999999998</c:v>
                </c:pt>
                <c:pt idx="7">
                  <c:v>23626.941999999999</c:v>
                </c:pt>
                <c:pt idx="8">
                  <c:v>44275.593999999997</c:v>
                </c:pt>
                <c:pt idx="9">
                  <c:v>20296.477999999999</c:v>
                </c:pt>
                <c:pt idx="10">
                  <c:v>10034.625</c:v>
                </c:pt>
                <c:pt idx="11">
                  <c:v>11185.225</c:v>
                </c:pt>
                <c:pt idx="12">
                  <c:v>23892.075000000001</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Dat_01!$C$233:$O$233</c:f>
              <c:numCache>
                <c:formatCode>#,##0.0</c:formatCode>
                <c:ptCount val="13"/>
                <c:pt idx="0">
                  <c:v>33.4</c:v>
                </c:pt>
                <c:pt idx="1">
                  <c:v>243</c:v>
                </c:pt>
                <c:pt idx="2">
                  <c:v>166.25</c:v>
                </c:pt>
                <c:pt idx="3">
                  <c:v>913.05</c:v>
                </c:pt>
                <c:pt idx="4">
                  <c:v>447.3</c:v>
                </c:pt>
                <c:pt idx="5">
                  <c:v>258.75</c:v>
                </c:pt>
                <c:pt idx="6">
                  <c:v>95.025000000000006</c:v>
                </c:pt>
                <c:pt idx="7">
                  <c:v>300.3</c:v>
                </c:pt>
                <c:pt idx="8">
                  <c:v>851.55</c:v>
                </c:pt>
                <c:pt idx="9">
                  <c:v>1234.2249999999999</c:v>
                </c:pt>
                <c:pt idx="10">
                  <c:v>817.65</c:v>
                </c:pt>
                <c:pt idx="11">
                  <c:v>1436.25</c:v>
                </c:pt>
                <c:pt idx="12">
                  <c:v>2461.75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Dat_01!$C$234:$O$234</c:f>
              <c:numCache>
                <c:formatCode>#,##0.0</c:formatCode>
                <c:ptCount val="13"/>
                <c:pt idx="0">
                  <c:v>16698.8</c:v>
                </c:pt>
                <c:pt idx="1">
                  <c:v>23769.14</c:v>
                </c:pt>
                <c:pt idx="2">
                  <c:v>22715.875</c:v>
                </c:pt>
                <c:pt idx="3">
                  <c:v>23154.973999999998</c:v>
                </c:pt>
                <c:pt idx="4">
                  <c:v>27594.224999999999</c:v>
                </c:pt>
                <c:pt idx="5">
                  <c:v>16767.825000000001</c:v>
                </c:pt>
                <c:pt idx="6">
                  <c:v>8009.9250000000002</c:v>
                </c:pt>
                <c:pt idx="7">
                  <c:v>8058.9750000000004</c:v>
                </c:pt>
                <c:pt idx="8">
                  <c:v>17383.25</c:v>
                </c:pt>
                <c:pt idx="9">
                  <c:v>19175.525000000001</c:v>
                </c:pt>
                <c:pt idx="10">
                  <c:v>10980.45</c:v>
                </c:pt>
                <c:pt idx="11">
                  <c:v>9205.7000000000007</c:v>
                </c:pt>
                <c:pt idx="12">
                  <c:v>28796.799999999999</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20.3539588262</c:v>
                </c:pt>
                <c:pt idx="1">
                  <c:v>7.2868159629999996</c:v>
                </c:pt>
                <c:pt idx="2">
                  <c:v>-5.5617885725000002</c:v>
                </c:pt>
                <c:pt idx="3">
                  <c:v>-52.450720009299999</c:v>
                </c:pt>
                <c:pt idx="4">
                  <c:v>-2.1895631825000001</c:v>
                </c:pt>
                <c:pt idx="5">
                  <c:v>15.1893099732</c:v>
                </c:pt>
                <c:pt idx="6">
                  <c:v>22.072287538600001</c:v>
                </c:pt>
                <c:pt idx="7">
                  <c:v>35.264518477099998</c:v>
                </c:pt>
                <c:pt idx="8">
                  <c:v>14.2514126045</c:v>
                </c:pt>
                <c:pt idx="9">
                  <c:v>14.1504108037</c:v>
                </c:pt>
                <c:pt idx="10">
                  <c:v>47.966835835799998</c:v>
                </c:pt>
                <c:pt idx="11">
                  <c:v>55.205082878200002</c:v>
                </c:pt>
                <c:pt idx="12">
                  <c:v>45.334035121399999</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Dat_01!$C$199:$O$199</c:f>
              <c:numCache>
                <c:formatCode>#,##0.0</c:formatCode>
                <c:ptCount val="13"/>
                <c:pt idx="0">
                  <c:v>523.65</c:v>
                </c:pt>
                <c:pt idx="1">
                  <c:v>13</c:v>
                </c:pt>
                <c:pt idx="2">
                  <c:v>1.25</c:v>
                </c:pt>
                <c:pt idx="3">
                  <c:v>58.75</c:v>
                </c:pt>
                <c:pt idx="4">
                  <c:v>46.674999999999997</c:v>
                </c:pt>
                <c:pt idx="5">
                  <c:v>56.25</c:v>
                </c:pt>
                <c:pt idx="6">
                  <c:v>537</c:v>
                </c:pt>
                <c:pt idx="7">
                  <c:v>17.5</c:v>
                </c:pt>
                <c:pt idx="8">
                  <c:v>275.2</c:v>
                </c:pt>
                <c:pt idx="9">
                  <c:v>379.41399999999999</c:v>
                </c:pt>
                <c:pt idx="10">
                  <c:v>960.09100000000001</c:v>
                </c:pt>
                <c:pt idx="11">
                  <c:v>1807.4749999999999</c:v>
                </c:pt>
                <c:pt idx="12">
                  <c:v>485.25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Dat_01!$C$200:$O$200</c:f>
              <c:numCache>
                <c:formatCode>#,##0.0</c:formatCode>
                <c:ptCount val="13"/>
                <c:pt idx="0">
                  <c:v>48869.214</c:v>
                </c:pt>
                <c:pt idx="1">
                  <c:v>24120.724999999999</c:v>
                </c:pt>
                <c:pt idx="2">
                  <c:v>10498.975</c:v>
                </c:pt>
                <c:pt idx="3">
                  <c:v>9874.8809999999994</c:v>
                </c:pt>
                <c:pt idx="4">
                  <c:v>37388.398000000001</c:v>
                </c:pt>
                <c:pt idx="5">
                  <c:v>61515.864999999998</c:v>
                </c:pt>
                <c:pt idx="6">
                  <c:v>117733.28599999999</c:v>
                </c:pt>
                <c:pt idx="7">
                  <c:v>108037.599</c:v>
                </c:pt>
                <c:pt idx="8">
                  <c:v>71329.876000000004</c:v>
                </c:pt>
                <c:pt idx="9">
                  <c:v>55707.942999999999</c:v>
                </c:pt>
                <c:pt idx="10">
                  <c:v>92005.611000000004</c:v>
                </c:pt>
                <c:pt idx="11">
                  <c:v>149676.72500000001</c:v>
                </c:pt>
                <c:pt idx="12">
                  <c:v>75138.25</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Dat_01!$C$201:$O$201</c:f>
              <c:numCache>
                <c:formatCode>#,##0.0</c:formatCode>
                <c:ptCount val="13"/>
                <c:pt idx="0">
                  <c:v>27.507999999999999</c:v>
                </c:pt>
                <c:pt idx="1">
                  <c:v>20.75</c:v>
                </c:pt>
                <c:pt idx="2">
                  <c:v>6.95</c:v>
                </c:pt>
                <c:pt idx="3">
                  <c:v>13.074999999999999</c:v>
                </c:pt>
                <c:pt idx="4">
                  <c:v>5.15</c:v>
                </c:pt>
                <c:pt idx="5">
                  <c:v>28.95</c:v>
                </c:pt>
                <c:pt idx="6">
                  <c:v>6.75</c:v>
                </c:pt>
                <c:pt idx="7">
                  <c:v>23.632999999999999</c:v>
                </c:pt>
                <c:pt idx="8">
                  <c:v>8.4250000000000007</c:v>
                </c:pt>
                <c:pt idx="9">
                  <c:v>4.7</c:v>
                </c:pt>
                <c:pt idx="10">
                  <c:v>15.625</c:v>
                </c:pt>
                <c:pt idx="11">
                  <c:v>16.25</c:v>
                </c:pt>
                <c:pt idx="12">
                  <c:v>3</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Dat_01!$C$202:$O$202</c:f>
              <c:numCache>
                <c:formatCode>#,##0.0</c:formatCode>
                <c:ptCount val="13"/>
                <c:pt idx="0">
                  <c:v>16987.325000000001</c:v>
                </c:pt>
                <c:pt idx="1">
                  <c:v>19195.691999999999</c:v>
                </c:pt>
                <c:pt idx="2">
                  <c:v>26103.108</c:v>
                </c:pt>
                <c:pt idx="3">
                  <c:v>14422.1</c:v>
                </c:pt>
                <c:pt idx="4">
                  <c:v>24589.24</c:v>
                </c:pt>
                <c:pt idx="5">
                  <c:v>35192.391000000003</c:v>
                </c:pt>
                <c:pt idx="6">
                  <c:v>33501.832999999999</c:v>
                </c:pt>
                <c:pt idx="7">
                  <c:v>27203.424999999999</c:v>
                </c:pt>
                <c:pt idx="8">
                  <c:v>25004.131000000001</c:v>
                </c:pt>
                <c:pt idx="9">
                  <c:v>19519.491000000002</c:v>
                </c:pt>
                <c:pt idx="10">
                  <c:v>14910.407999999999</c:v>
                </c:pt>
                <c:pt idx="11">
                  <c:v>17618.241999999998</c:v>
                </c:pt>
                <c:pt idx="12">
                  <c:v>30294.2</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Dat_01!$C$204:$O$204</c:f>
              <c:numCache>
                <c:formatCode>#,##0.0</c:formatCode>
                <c:ptCount val="13"/>
                <c:pt idx="0">
                  <c:v>8593.4660000000003</c:v>
                </c:pt>
                <c:pt idx="1">
                  <c:v>21041.275000000001</c:v>
                </c:pt>
                <c:pt idx="2">
                  <c:v>89456.368000000002</c:v>
                </c:pt>
                <c:pt idx="3">
                  <c:v>32837.114000000001</c:v>
                </c:pt>
                <c:pt idx="4">
                  <c:v>18793.464</c:v>
                </c:pt>
                <c:pt idx="5">
                  <c:v>19769.831999999999</c:v>
                </c:pt>
                <c:pt idx="6">
                  <c:v>27242.550999999999</c:v>
                </c:pt>
                <c:pt idx="7">
                  <c:v>18314.178</c:v>
                </c:pt>
                <c:pt idx="8">
                  <c:v>14389.375</c:v>
                </c:pt>
                <c:pt idx="9">
                  <c:v>24306.028999999999</c:v>
                </c:pt>
                <c:pt idx="10">
                  <c:v>13826.055</c:v>
                </c:pt>
                <c:pt idx="11">
                  <c:v>22650.025000000001</c:v>
                </c:pt>
                <c:pt idx="12">
                  <c:v>24907.05</c:v>
                </c:pt>
              </c:numCache>
            </c:numRef>
          </c:val>
          <c:extLst>
            <c:ext xmlns:c16="http://schemas.microsoft.com/office/drawing/2014/chart" uri="{C3380CC4-5D6E-409C-BE32-E72D297353CC}">
              <c16:uniqueId val="{00000004-2655-43B4-8799-F66FBECD481A}"/>
            </c:ext>
          </c:extLst>
        </c:ser>
        <c:ser>
          <c:idx val="8"/>
          <c:order val="7"/>
          <c:tx>
            <c:strRef>
              <c:f>Dat_01!$B$209</c:f>
              <c:strCache>
                <c:ptCount val="1"/>
                <c:pt idx="0">
                  <c:v>Internacionales</c:v>
                </c:pt>
              </c:strCache>
              <c:extLst xmlns:c15="http://schemas.microsoft.com/office/drawing/2012/chart"/>
            </c:strRef>
          </c:tx>
          <c:spPr>
            <a:solidFill>
              <a:srgbClr val="BA0F16"/>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Dat_01!$C$209:$O$209</c:f>
              <c:numCache>
                <c:formatCode>#,##0.0</c:formatCode>
                <c:ptCount val="13"/>
                <c:pt idx="0">
                  <c:v>0</c:v>
                </c:pt>
                <c:pt idx="1">
                  <c:v>0</c:v>
                </c:pt>
                <c:pt idx="2">
                  <c:v>0</c:v>
                </c:pt>
                <c:pt idx="3">
                  <c:v>0</c:v>
                </c:pt>
                <c:pt idx="4">
                  <c:v>0</c:v>
                </c:pt>
                <c:pt idx="5">
                  <c:v>0</c:v>
                </c:pt>
                <c:pt idx="6">
                  <c:v>0</c:v>
                </c:pt>
                <c:pt idx="7">
                  <c:v>0</c:v>
                </c:pt>
                <c:pt idx="8">
                  <c:v>0</c:v>
                </c:pt>
                <c:pt idx="9">
                  <c:v>0</c:v>
                </c:pt>
                <c:pt idx="10">
                  <c:v>0</c:v>
                </c:pt>
                <c:pt idx="11">
                  <c:v>8416.4750000000004</c:v>
                </c:pt>
                <c:pt idx="12">
                  <c:v>34556.9</c:v>
                </c:pt>
              </c:numCache>
              <c:extLst xmlns:c15="http://schemas.microsoft.com/office/drawing/2012/chart"/>
            </c:numRef>
          </c:val>
          <c:extLst xmlns:c15="http://schemas.microsoft.com/office/drawing/2012/chart">
            <c:ext xmlns:c16="http://schemas.microsoft.com/office/drawing/2014/chart" uri="{C3380CC4-5D6E-409C-BE32-E72D297353CC}">
              <c16:uniqueId val="{0000000C-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Dat_01!$C$207:$O$207</c:f>
              <c:numCache>
                <c:formatCode>#,##0.0</c:formatCode>
                <c:ptCount val="13"/>
                <c:pt idx="0">
                  <c:v>26383.8</c:v>
                </c:pt>
                <c:pt idx="1">
                  <c:v>33224.966</c:v>
                </c:pt>
                <c:pt idx="2">
                  <c:v>37741.302000000003</c:v>
                </c:pt>
                <c:pt idx="3">
                  <c:v>32447.29</c:v>
                </c:pt>
                <c:pt idx="4">
                  <c:v>34258.17</c:v>
                </c:pt>
                <c:pt idx="5">
                  <c:v>52189.11</c:v>
                </c:pt>
                <c:pt idx="6">
                  <c:v>44286.06</c:v>
                </c:pt>
                <c:pt idx="7">
                  <c:v>45614.728999999999</c:v>
                </c:pt>
                <c:pt idx="8">
                  <c:v>21337.156999999999</c:v>
                </c:pt>
                <c:pt idx="9">
                  <c:v>36443.067999999999</c:v>
                </c:pt>
                <c:pt idx="10">
                  <c:v>25115.334999999999</c:v>
                </c:pt>
                <c:pt idx="11">
                  <c:v>46447.163</c:v>
                </c:pt>
                <c:pt idx="12">
                  <c:v>30091.7</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Dat_01!$C$210:$O$210</c:f>
              <c:numCache>
                <c:formatCode>#,##0.0</c:formatCode>
                <c:ptCount val="13"/>
                <c:pt idx="0">
                  <c:v>129.17500000000001</c:v>
                </c:pt>
                <c:pt idx="1">
                  <c:v>111.22499999999999</c:v>
                </c:pt>
                <c:pt idx="2">
                  <c:v>321.82499999999999</c:v>
                </c:pt>
                <c:pt idx="3">
                  <c:v>10.275</c:v>
                </c:pt>
                <c:pt idx="4">
                  <c:v>318.7</c:v>
                </c:pt>
                <c:pt idx="5">
                  <c:v>7.2</c:v>
                </c:pt>
                <c:pt idx="6">
                  <c:v>522.85</c:v>
                </c:pt>
                <c:pt idx="7">
                  <c:v>0</c:v>
                </c:pt>
                <c:pt idx="8">
                  <c:v>0</c:v>
                </c:pt>
                <c:pt idx="9">
                  <c:v>0</c:v>
                </c:pt>
                <c:pt idx="10">
                  <c:v>100.05</c:v>
                </c:pt>
                <c:pt idx="11">
                  <c:v>30</c:v>
                </c:pt>
                <c:pt idx="12">
                  <c:v>139.15</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Dat_01!$C$211:$O$211</c:f>
              <c:numCache>
                <c:formatCode>#,##0.0</c:formatCode>
                <c:ptCount val="13"/>
                <c:pt idx="0">
                  <c:v>1.5</c:v>
                </c:pt>
                <c:pt idx="1">
                  <c:v>9</c:v>
                </c:pt>
                <c:pt idx="2">
                  <c:v>0</c:v>
                </c:pt>
                <c:pt idx="3">
                  <c:v>14</c:v>
                </c:pt>
                <c:pt idx="4">
                  <c:v>0</c:v>
                </c:pt>
                <c:pt idx="5">
                  <c:v>9</c:v>
                </c:pt>
                <c:pt idx="6">
                  <c:v>60.5</c:v>
                </c:pt>
                <c:pt idx="7">
                  <c:v>299.625</c:v>
                </c:pt>
                <c:pt idx="8">
                  <c:v>284.55</c:v>
                </c:pt>
                <c:pt idx="9">
                  <c:v>361.459</c:v>
                </c:pt>
                <c:pt idx="10">
                  <c:v>76.349999999999994</c:v>
                </c:pt>
                <c:pt idx="11">
                  <c:v>47.25</c:v>
                </c:pt>
                <c:pt idx="12">
                  <c:v>85</c:v>
                </c:pt>
              </c:numCache>
            </c:numRef>
          </c:val>
          <c:extLst>
            <c:ext xmlns:c16="http://schemas.microsoft.com/office/drawing/2014/chart" uri="{C3380CC4-5D6E-409C-BE32-E72D297353CC}">
              <c16:uniqueId val="{00000007-2655-43B4-8799-F66FBECD481A}"/>
            </c:ext>
          </c:extLst>
        </c:ser>
        <c:ser>
          <c:idx val="13"/>
          <c:order val="11"/>
          <c:tx>
            <c:strRef>
              <c:f>Dat_01!$B$212</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Dat_01!$C$212:$O$212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D-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Dat_01!$C$213:$O$213</c:f>
              <c:numCache>
                <c:formatCode>#,##0.0</c:formatCode>
                <c:ptCount val="13"/>
                <c:pt idx="0">
                  <c:v>1107.758</c:v>
                </c:pt>
                <c:pt idx="1">
                  <c:v>3404.7750000000001</c:v>
                </c:pt>
                <c:pt idx="2">
                  <c:v>8775.15</c:v>
                </c:pt>
                <c:pt idx="3">
                  <c:v>17245.624</c:v>
                </c:pt>
                <c:pt idx="4">
                  <c:v>12342.802</c:v>
                </c:pt>
                <c:pt idx="5">
                  <c:v>5942.2259999999997</c:v>
                </c:pt>
                <c:pt idx="6">
                  <c:v>11715.717000000001</c:v>
                </c:pt>
                <c:pt idx="7">
                  <c:v>6043.3620000000001</c:v>
                </c:pt>
                <c:pt idx="8">
                  <c:v>3037.88</c:v>
                </c:pt>
                <c:pt idx="9">
                  <c:v>4937.223</c:v>
                </c:pt>
                <c:pt idx="10">
                  <c:v>2907.0349999999999</c:v>
                </c:pt>
                <c:pt idx="11">
                  <c:v>3403.0250000000001</c:v>
                </c:pt>
                <c:pt idx="12">
                  <c:v>3800</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Dat_01!$C$214:$O$214</c:f>
              <c:numCache>
                <c:formatCode>#,##0.0</c:formatCode>
                <c:ptCount val="13"/>
                <c:pt idx="0">
                  <c:v>1</c:v>
                </c:pt>
                <c:pt idx="1">
                  <c:v>3.75</c:v>
                </c:pt>
                <c:pt idx="2">
                  <c:v>4</c:v>
                </c:pt>
                <c:pt idx="3">
                  <c:v>61.174999999999997</c:v>
                </c:pt>
                <c:pt idx="4">
                  <c:v>10.925000000000001</c:v>
                </c:pt>
                <c:pt idx="5">
                  <c:v>17.5</c:v>
                </c:pt>
                <c:pt idx="6">
                  <c:v>0</c:v>
                </c:pt>
                <c:pt idx="7">
                  <c:v>42.45</c:v>
                </c:pt>
                <c:pt idx="8">
                  <c:v>35.475000000000001</c:v>
                </c:pt>
                <c:pt idx="9">
                  <c:v>19.399999999999999</c:v>
                </c:pt>
                <c:pt idx="10">
                  <c:v>6.7</c:v>
                </c:pt>
                <c:pt idx="11">
                  <c:v>9.25</c:v>
                </c:pt>
                <c:pt idx="12">
                  <c:v>15.25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Dat_01!$C$215:$O$215</c:f>
              <c:numCache>
                <c:formatCode>#,##0.0</c:formatCode>
                <c:ptCount val="13"/>
                <c:pt idx="0">
                  <c:v>28037.621999999999</c:v>
                </c:pt>
                <c:pt idx="1">
                  <c:v>23687.084999999999</c:v>
                </c:pt>
                <c:pt idx="2">
                  <c:v>23564.596000000001</c:v>
                </c:pt>
                <c:pt idx="3">
                  <c:v>17764.125</c:v>
                </c:pt>
                <c:pt idx="4">
                  <c:v>41513.373</c:v>
                </c:pt>
                <c:pt idx="5">
                  <c:v>26517.401000000002</c:v>
                </c:pt>
                <c:pt idx="6">
                  <c:v>25433.624</c:v>
                </c:pt>
                <c:pt idx="7">
                  <c:v>17591.724999999999</c:v>
                </c:pt>
                <c:pt idx="8">
                  <c:v>23246.357</c:v>
                </c:pt>
                <c:pt idx="9">
                  <c:v>14903.813</c:v>
                </c:pt>
                <c:pt idx="10">
                  <c:v>9228.6530000000002</c:v>
                </c:pt>
                <c:pt idx="11">
                  <c:v>13417.55</c:v>
                </c:pt>
                <c:pt idx="12">
                  <c:v>19331.099999999999</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Dat_01!$C$416:$O$416</c:f>
              <c:numCache>
                <c:formatCode>#,##0.00</c:formatCode>
                <c:ptCount val="13"/>
                <c:pt idx="0">
                  <c:v>96.015566196199998</c:v>
                </c:pt>
                <c:pt idx="1">
                  <c:v>58.407531980800002</c:v>
                </c:pt>
                <c:pt idx="2">
                  <c:v>23.9411482786</c:v>
                </c:pt>
                <c:pt idx="3">
                  <c:v>32.900009541700001</c:v>
                </c:pt>
                <c:pt idx="4">
                  <c:v>64.074680799000006</c:v>
                </c:pt>
                <c:pt idx="5">
                  <c:v>93.701156764000004</c:v>
                </c:pt>
                <c:pt idx="6">
                  <c:v>97.325009448100005</c:v>
                </c:pt>
                <c:pt idx="7">
                  <c:v>114.6892769159</c:v>
                </c:pt>
                <c:pt idx="8">
                  <c:v>106.6717990865</c:v>
                </c:pt>
                <c:pt idx="9">
                  <c:v>96.757878917900001</c:v>
                </c:pt>
                <c:pt idx="10">
                  <c:v>130.18347199920001</c:v>
                </c:pt>
                <c:pt idx="11">
                  <c:v>143.12100996730001</c:v>
                </c:pt>
                <c:pt idx="12">
                  <c:v>128.90381284489999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948.3</c:v>
                </c:pt>
                <c:pt idx="1">
                  <c:v>134</c:v>
                </c:pt>
                <c:pt idx="2">
                  <c:v>42</c:v>
                </c:pt>
                <c:pt idx="3">
                  <c:v>26.25</c:v>
                </c:pt>
                <c:pt idx="4">
                  <c:v>0</c:v>
                </c:pt>
                <c:pt idx="5">
                  <c:v>41.5</c:v>
                </c:pt>
                <c:pt idx="6">
                  <c:v>412.6</c:v>
                </c:pt>
                <c:pt idx="7">
                  <c:v>381</c:v>
                </c:pt>
                <c:pt idx="8">
                  <c:v>406</c:v>
                </c:pt>
                <c:pt idx="9">
                  <c:v>833.8</c:v>
                </c:pt>
                <c:pt idx="10">
                  <c:v>128.25</c:v>
                </c:pt>
                <c:pt idx="11">
                  <c:v>200.75</c:v>
                </c:pt>
                <c:pt idx="12">
                  <c:v>810</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36176.574999999997</c:v>
                </c:pt>
                <c:pt idx="1">
                  <c:v>13518.35</c:v>
                </c:pt>
                <c:pt idx="2">
                  <c:v>16244.174999999999</c:v>
                </c:pt>
                <c:pt idx="3">
                  <c:v>6901.2250000000004</c:v>
                </c:pt>
                <c:pt idx="4">
                  <c:v>6791.0749999999998</c:v>
                </c:pt>
                <c:pt idx="5">
                  <c:v>13289.825000000001</c:v>
                </c:pt>
                <c:pt idx="6">
                  <c:v>16226.75</c:v>
                </c:pt>
                <c:pt idx="7">
                  <c:v>19143.775000000001</c:v>
                </c:pt>
                <c:pt idx="8">
                  <c:v>23707.275000000001</c:v>
                </c:pt>
                <c:pt idx="9">
                  <c:v>20838.625</c:v>
                </c:pt>
                <c:pt idx="10">
                  <c:v>20258.349999999999</c:v>
                </c:pt>
                <c:pt idx="11">
                  <c:v>23259.55</c:v>
                </c:pt>
                <c:pt idx="12">
                  <c:v>40918.074999999997</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388.92500000000001</c:v>
                </c:pt>
                <c:pt idx="1">
                  <c:v>410.17500000000001</c:v>
                </c:pt>
                <c:pt idx="2">
                  <c:v>626.47500000000002</c:v>
                </c:pt>
                <c:pt idx="3">
                  <c:v>35.6</c:v>
                </c:pt>
                <c:pt idx="4">
                  <c:v>60.15</c:v>
                </c:pt>
                <c:pt idx="5">
                  <c:v>142.65</c:v>
                </c:pt>
                <c:pt idx="6">
                  <c:v>350.52499999999998</c:v>
                </c:pt>
                <c:pt idx="7">
                  <c:v>574.29999999999995</c:v>
                </c:pt>
                <c:pt idx="8">
                  <c:v>336.55</c:v>
                </c:pt>
                <c:pt idx="9">
                  <c:v>485.85</c:v>
                </c:pt>
                <c:pt idx="10">
                  <c:v>367.02499999999998</c:v>
                </c:pt>
                <c:pt idx="11">
                  <c:v>136.5</c:v>
                </c:pt>
                <c:pt idx="12">
                  <c:v>765.1</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84350</c:v>
                </c:pt>
                <c:pt idx="1">
                  <c:v>81179.25</c:v>
                </c:pt>
                <c:pt idx="2">
                  <c:v>71805.25</c:v>
                </c:pt>
                <c:pt idx="3">
                  <c:v>89298.5</c:v>
                </c:pt>
                <c:pt idx="4">
                  <c:v>45527.15</c:v>
                </c:pt>
                <c:pt idx="5">
                  <c:v>45937.275000000001</c:v>
                </c:pt>
                <c:pt idx="6">
                  <c:v>43872.800000000003</c:v>
                </c:pt>
                <c:pt idx="7">
                  <c:v>85489</c:v>
                </c:pt>
                <c:pt idx="8">
                  <c:v>57096.4</c:v>
                </c:pt>
                <c:pt idx="9">
                  <c:v>57520.25</c:v>
                </c:pt>
                <c:pt idx="10">
                  <c:v>40508.199999999997</c:v>
                </c:pt>
                <c:pt idx="11">
                  <c:v>40637.15</c:v>
                </c:pt>
                <c:pt idx="12">
                  <c:v>50389.4</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90254.85</c:v>
                </c:pt>
                <c:pt idx="1">
                  <c:v>121318.77499999999</c:v>
                </c:pt>
                <c:pt idx="2">
                  <c:v>135496.625</c:v>
                </c:pt>
                <c:pt idx="3">
                  <c:v>230270.27499999999</c:v>
                </c:pt>
                <c:pt idx="4">
                  <c:v>120354.125</c:v>
                </c:pt>
                <c:pt idx="5">
                  <c:v>92592.25</c:v>
                </c:pt>
                <c:pt idx="6">
                  <c:v>91542.55</c:v>
                </c:pt>
                <c:pt idx="7">
                  <c:v>130294.325</c:v>
                </c:pt>
                <c:pt idx="8">
                  <c:v>162821.57500000001</c:v>
                </c:pt>
                <c:pt idx="9">
                  <c:v>154544.22500000001</c:v>
                </c:pt>
                <c:pt idx="10">
                  <c:v>104938.175</c:v>
                </c:pt>
                <c:pt idx="11">
                  <c:v>76241.225000000006</c:v>
                </c:pt>
                <c:pt idx="12">
                  <c:v>101824.35</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35013.025000000001</c:v>
                </c:pt>
                <c:pt idx="1">
                  <c:v>54346.8</c:v>
                </c:pt>
                <c:pt idx="2">
                  <c:v>56838.45</c:v>
                </c:pt>
                <c:pt idx="3">
                  <c:v>58545.275000000001</c:v>
                </c:pt>
                <c:pt idx="4">
                  <c:v>22738.424999999999</c:v>
                </c:pt>
                <c:pt idx="5">
                  <c:v>25203.9</c:v>
                </c:pt>
                <c:pt idx="6">
                  <c:v>22661.65</c:v>
                </c:pt>
                <c:pt idx="7">
                  <c:v>24531.674999999999</c:v>
                </c:pt>
                <c:pt idx="8">
                  <c:v>29122.674999999999</c:v>
                </c:pt>
                <c:pt idx="9">
                  <c:v>48937.175000000003</c:v>
                </c:pt>
                <c:pt idx="10">
                  <c:v>28066.5</c:v>
                </c:pt>
                <c:pt idx="11">
                  <c:v>55051.875</c:v>
                </c:pt>
                <c:pt idx="12">
                  <c:v>49899.25</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218</c:v>
                </c:pt>
                <c:pt idx="1">
                  <c:v>1231.425</c:v>
                </c:pt>
                <c:pt idx="2">
                  <c:v>851.5</c:v>
                </c:pt>
                <c:pt idx="3">
                  <c:v>264.10000000000002</c:v>
                </c:pt>
                <c:pt idx="4">
                  <c:v>495.25</c:v>
                </c:pt>
                <c:pt idx="5">
                  <c:v>140</c:v>
                </c:pt>
                <c:pt idx="6">
                  <c:v>787.42499999999995</c:v>
                </c:pt>
                <c:pt idx="7">
                  <c:v>137</c:v>
                </c:pt>
                <c:pt idx="8">
                  <c:v>120</c:v>
                </c:pt>
                <c:pt idx="9">
                  <c:v>0</c:v>
                </c:pt>
                <c:pt idx="10">
                  <c:v>175.97499999999999</c:v>
                </c:pt>
                <c:pt idx="11">
                  <c:v>243.75</c:v>
                </c:pt>
                <c:pt idx="12">
                  <c:v>855.6</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283.75</c:v>
                </c:pt>
                <c:pt idx="1">
                  <c:v>148</c:v>
                </c:pt>
                <c:pt idx="2">
                  <c:v>8</c:v>
                </c:pt>
                <c:pt idx="3">
                  <c:v>70.75</c:v>
                </c:pt>
                <c:pt idx="4">
                  <c:v>177.25</c:v>
                </c:pt>
                <c:pt idx="5">
                  <c:v>47.75</c:v>
                </c:pt>
                <c:pt idx="6">
                  <c:v>81.75</c:v>
                </c:pt>
                <c:pt idx="7">
                  <c:v>152.5</c:v>
                </c:pt>
                <c:pt idx="8">
                  <c:v>335.75</c:v>
                </c:pt>
                <c:pt idx="9">
                  <c:v>196.5</c:v>
                </c:pt>
                <c:pt idx="10">
                  <c:v>252</c:v>
                </c:pt>
                <c:pt idx="11">
                  <c:v>18</c:v>
                </c:pt>
                <c:pt idx="12">
                  <c:v>51</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10047.9</c:v>
                </c:pt>
                <c:pt idx="1">
                  <c:v>36033.974999999999</c:v>
                </c:pt>
                <c:pt idx="2">
                  <c:v>47776.1</c:v>
                </c:pt>
                <c:pt idx="3">
                  <c:v>108573.3</c:v>
                </c:pt>
                <c:pt idx="4">
                  <c:v>105239.4</c:v>
                </c:pt>
                <c:pt idx="5">
                  <c:v>73395.25</c:v>
                </c:pt>
                <c:pt idx="6">
                  <c:v>57932.775000000001</c:v>
                </c:pt>
                <c:pt idx="7">
                  <c:v>56016.35</c:v>
                </c:pt>
                <c:pt idx="8">
                  <c:v>54552.375</c:v>
                </c:pt>
                <c:pt idx="9">
                  <c:v>20732.650000000001</c:v>
                </c:pt>
                <c:pt idx="10">
                  <c:v>21085.15</c:v>
                </c:pt>
                <c:pt idx="11">
                  <c:v>18646.599999999999</c:v>
                </c:pt>
                <c:pt idx="12">
                  <c:v>23535.525000000001</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0</c:v>
                </c:pt>
                <c:pt idx="1">
                  <c:v>0</c:v>
                </c:pt>
                <c:pt idx="2">
                  <c:v>2</c:v>
                </c:pt>
                <c:pt idx="3">
                  <c:v>0</c:v>
                </c:pt>
                <c:pt idx="4">
                  <c:v>164.75</c:v>
                </c:pt>
                <c:pt idx="5">
                  <c:v>10.55</c:v>
                </c:pt>
                <c:pt idx="6">
                  <c:v>0</c:v>
                </c:pt>
                <c:pt idx="7">
                  <c:v>1854.825</c:v>
                </c:pt>
                <c:pt idx="8">
                  <c:v>7491.5</c:v>
                </c:pt>
                <c:pt idx="9">
                  <c:v>13007.775</c:v>
                </c:pt>
                <c:pt idx="10">
                  <c:v>19087.900000000001</c:v>
                </c:pt>
                <c:pt idx="11">
                  <c:v>14697</c:v>
                </c:pt>
                <c:pt idx="12">
                  <c:v>17053.275000000001</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25499.974999999999</c:v>
                </c:pt>
                <c:pt idx="1">
                  <c:v>26530.275000000001</c:v>
                </c:pt>
                <c:pt idx="2">
                  <c:v>32165.775000000001</c:v>
                </c:pt>
                <c:pt idx="3">
                  <c:v>34483.775000000001</c:v>
                </c:pt>
                <c:pt idx="4">
                  <c:v>24725.375</c:v>
                </c:pt>
                <c:pt idx="5">
                  <c:v>21775.599999999999</c:v>
                </c:pt>
                <c:pt idx="6">
                  <c:v>16501.599999999999</c:v>
                </c:pt>
                <c:pt idx="7">
                  <c:v>17942.75</c:v>
                </c:pt>
                <c:pt idx="8">
                  <c:v>24462.5</c:v>
                </c:pt>
                <c:pt idx="9">
                  <c:v>27379.85</c:v>
                </c:pt>
                <c:pt idx="10">
                  <c:v>27583.724999999999</c:v>
                </c:pt>
                <c:pt idx="11">
                  <c:v>25957.25</c:v>
                </c:pt>
                <c:pt idx="12">
                  <c:v>46658.175000000003</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32.455270508300003</c:v>
                </c:pt>
                <c:pt idx="1">
                  <c:v>13.559000728199999</c:v>
                </c:pt>
                <c:pt idx="2">
                  <c:v>5.6187015046999997</c:v>
                </c:pt>
                <c:pt idx="3">
                  <c:v>-22.445101460299998</c:v>
                </c:pt>
                <c:pt idx="4">
                  <c:v>0.64371816849999997</c:v>
                </c:pt>
                <c:pt idx="5">
                  <c:v>8.7326280057000005</c:v>
                </c:pt>
                <c:pt idx="6">
                  <c:v>21.612704861400001</c:v>
                </c:pt>
                <c:pt idx="7">
                  <c:v>31.9436785561</c:v>
                </c:pt>
                <c:pt idx="8">
                  <c:v>25.912088802</c:v>
                </c:pt>
                <c:pt idx="9">
                  <c:v>35.972563547599997</c:v>
                </c:pt>
                <c:pt idx="10">
                  <c:v>59.567486707100002</c:v>
                </c:pt>
                <c:pt idx="11">
                  <c:v>71.541896375299999</c:v>
                </c:pt>
                <c:pt idx="12">
                  <c:v>54.339434263699999</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Dat_01!$C$262:$O$262</c:f>
              <c:numCache>
                <c:formatCode>#,##0.0</c:formatCode>
                <c:ptCount val="13"/>
                <c:pt idx="0">
                  <c:v>460</c:v>
                </c:pt>
                <c:pt idx="1">
                  <c:v>20</c:v>
                </c:pt>
                <c:pt idx="2">
                  <c:v>0</c:v>
                </c:pt>
                <c:pt idx="3">
                  <c:v>0</c:v>
                </c:pt>
                <c:pt idx="4">
                  <c:v>0</c:v>
                </c:pt>
                <c:pt idx="5">
                  <c:v>8.25</c:v>
                </c:pt>
                <c:pt idx="6">
                  <c:v>0</c:v>
                </c:pt>
                <c:pt idx="7">
                  <c:v>0</c:v>
                </c:pt>
                <c:pt idx="8">
                  <c:v>127.5</c:v>
                </c:pt>
                <c:pt idx="9">
                  <c:v>362</c:v>
                </c:pt>
                <c:pt idx="10">
                  <c:v>1633</c:v>
                </c:pt>
                <c:pt idx="11">
                  <c:v>2088.5</c:v>
                </c:pt>
                <c:pt idx="12">
                  <c:v>693</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Dat_01!$C$263:$O$263</c:f>
              <c:numCache>
                <c:formatCode>#,##0.0</c:formatCode>
                <c:ptCount val="13"/>
                <c:pt idx="0">
                  <c:v>124757.625</c:v>
                </c:pt>
                <c:pt idx="1">
                  <c:v>52851.55</c:v>
                </c:pt>
                <c:pt idx="2">
                  <c:v>20211.7</c:v>
                </c:pt>
                <c:pt idx="3">
                  <c:v>21810.125</c:v>
                </c:pt>
                <c:pt idx="4">
                  <c:v>32926.224999999999</c:v>
                </c:pt>
                <c:pt idx="5">
                  <c:v>64006.1</c:v>
                </c:pt>
                <c:pt idx="6">
                  <c:v>163340.42499999999</c:v>
                </c:pt>
                <c:pt idx="7">
                  <c:v>165694.04999999999</c:v>
                </c:pt>
                <c:pt idx="8">
                  <c:v>125756.45</c:v>
                </c:pt>
                <c:pt idx="9">
                  <c:v>89216.125</c:v>
                </c:pt>
                <c:pt idx="10">
                  <c:v>197862.55</c:v>
                </c:pt>
                <c:pt idx="11">
                  <c:v>213803.25</c:v>
                </c:pt>
                <c:pt idx="12">
                  <c:v>129121.52499999999</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Dat_01!$C$264:$O$264</c:f>
              <c:numCache>
                <c:formatCode>#,##0.0</c:formatCode>
                <c:ptCount val="13"/>
                <c:pt idx="0">
                  <c:v>36.5</c:v>
                </c:pt>
                <c:pt idx="1">
                  <c:v>0</c:v>
                </c:pt>
                <c:pt idx="2">
                  <c:v>16</c:v>
                </c:pt>
                <c:pt idx="3">
                  <c:v>30.5</c:v>
                </c:pt>
                <c:pt idx="4">
                  <c:v>8.25</c:v>
                </c:pt>
                <c:pt idx="5">
                  <c:v>103.2</c:v>
                </c:pt>
                <c:pt idx="6">
                  <c:v>13.175000000000001</c:v>
                </c:pt>
                <c:pt idx="7">
                  <c:v>45.65</c:v>
                </c:pt>
                <c:pt idx="8">
                  <c:v>14.25</c:v>
                </c:pt>
                <c:pt idx="9">
                  <c:v>24.5</c:v>
                </c:pt>
                <c:pt idx="10">
                  <c:v>6</c:v>
                </c:pt>
                <c:pt idx="11">
                  <c:v>2.75</c:v>
                </c:pt>
                <c:pt idx="12">
                  <c:v>0</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Dat_01!$C$265:$O$265</c:f>
              <c:numCache>
                <c:formatCode>#,##0.0</c:formatCode>
                <c:ptCount val="13"/>
                <c:pt idx="0">
                  <c:v>10274.75</c:v>
                </c:pt>
                <c:pt idx="1">
                  <c:v>13379.5</c:v>
                </c:pt>
                <c:pt idx="2">
                  <c:v>15172.75</c:v>
                </c:pt>
                <c:pt idx="3">
                  <c:v>7407.5</c:v>
                </c:pt>
                <c:pt idx="4">
                  <c:v>9859.75</c:v>
                </c:pt>
                <c:pt idx="5">
                  <c:v>17882.150000000001</c:v>
                </c:pt>
                <c:pt idx="6">
                  <c:v>15875.5</c:v>
                </c:pt>
                <c:pt idx="7">
                  <c:v>8039.05</c:v>
                </c:pt>
                <c:pt idx="8">
                  <c:v>7439.25</c:v>
                </c:pt>
                <c:pt idx="9">
                  <c:v>12368</c:v>
                </c:pt>
                <c:pt idx="10">
                  <c:v>6237.75</c:v>
                </c:pt>
                <c:pt idx="11">
                  <c:v>7032</c:v>
                </c:pt>
                <c:pt idx="12">
                  <c:v>12204.95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Dat_01!$C$267:$O$267</c:f>
              <c:numCache>
                <c:formatCode>#,##0.0</c:formatCode>
                <c:ptCount val="13"/>
                <c:pt idx="0">
                  <c:v>14486.075000000001</c:v>
                </c:pt>
                <c:pt idx="1">
                  <c:v>25612.974999999999</c:v>
                </c:pt>
                <c:pt idx="2">
                  <c:v>79915.274999999994</c:v>
                </c:pt>
                <c:pt idx="3">
                  <c:v>29149.474999999999</c:v>
                </c:pt>
                <c:pt idx="4">
                  <c:v>13277.424999999999</c:v>
                </c:pt>
                <c:pt idx="5">
                  <c:v>17743.05</c:v>
                </c:pt>
                <c:pt idx="6">
                  <c:v>20474.400000000001</c:v>
                </c:pt>
                <c:pt idx="7">
                  <c:v>12857.125</c:v>
                </c:pt>
                <c:pt idx="8">
                  <c:v>10297.075000000001</c:v>
                </c:pt>
                <c:pt idx="9">
                  <c:v>17407.400000000001</c:v>
                </c:pt>
                <c:pt idx="10">
                  <c:v>18914.650000000001</c:v>
                </c:pt>
                <c:pt idx="11">
                  <c:v>19104.8</c:v>
                </c:pt>
                <c:pt idx="12">
                  <c:v>19423.2</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Dat_01!$C$270:$O$270</c:f>
              <c:numCache>
                <c:formatCode>#,##0.0</c:formatCode>
                <c:ptCount val="13"/>
                <c:pt idx="0">
                  <c:v>21436.375</c:v>
                </c:pt>
                <c:pt idx="1">
                  <c:v>22889.05</c:v>
                </c:pt>
                <c:pt idx="2">
                  <c:v>21242.6</c:v>
                </c:pt>
                <c:pt idx="3">
                  <c:v>29669.674999999999</c:v>
                </c:pt>
                <c:pt idx="4">
                  <c:v>27349.875</c:v>
                </c:pt>
                <c:pt idx="5">
                  <c:v>34456.25</c:v>
                </c:pt>
                <c:pt idx="6">
                  <c:v>28817.424999999999</c:v>
                </c:pt>
                <c:pt idx="7">
                  <c:v>18607.349999999999</c:v>
                </c:pt>
                <c:pt idx="8">
                  <c:v>15957.25</c:v>
                </c:pt>
                <c:pt idx="9">
                  <c:v>25102.724999999999</c:v>
                </c:pt>
                <c:pt idx="10">
                  <c:v>20039.8</c:v>
                </c:pt>
                <c:pt idx="11">
                  <c:v>26686.775000000001</c:v>
                </c:pt>
                <c:pt idx="12">
                  <c:v>30557.85</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Dat_01!$C$273:$O$273</c:f>
              <c:numCache>
                <c:formatCode>#,##0.0</c:formatCode>
                <c:ptCount val="13"/>
                <c:pt idx="0">
                  <c:v>74.75</c:v>
                </c:pt>
                <c:pt idx="1">
                  <c:v>494</c:v>
                </c:pt>
                <c:pt idx="2">
                  <c:v>605.375</c:v>
                </c:pt>
                <c:pt idx="3">
                  <c:v>24.5</c:v>
                </c:pt>
                <c:pt idx="4">
                  <c:v>201.3</c:v>
                </c:pt>
                <c:pt idx="5">
                  <c:v>1.325</c:v>
                </c:pt>
                <c:pt idx="6">
                  <c:v>238.82499999999999</c:v>
                </c:pt>
                <c:pt idx="7">
                  <c:v>342</c:v>
                </c:pt>
                <c:pt idx="8">
                  <c:v>0</c:v>
                </c:pt>
                <c:pt idx="9">
                  <c:v>0</c:v>
                </c:pt>
                <c:pt idx="10">
                  <c:v>119.52500000000001</c:v>
                </c:pt>
                <c:pt idx="11">
                  <c:v>15.75</c:v>
                </c:pt>
                <c:pt idx="12">
                  <c:v>369.95</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24</c:v>
                </c:pt>
                <c:pt idx="1">
                  <c:v>7</c:v>
                </c:pt>
                <c:pt idx="2">
                  <c:v>3</c:v>
                </c:pt>
                <c:pt idx="3">
                  <c:v>30</c:v>
                </c:pt>
                <c:pt idx="4">
                  <c:v>9</c:v>
                </c:pt>
                <c:pt idx="5">
                  <c:v>6</c:v>
                </c:pt>
                <c:pt idx="6">
                  <c:v>13</c:v>
                </c:pt>
                <c:pt idx="7">
                  <c:v>0</c:v>
                </c:pt>
                <c:pt idx="8">
                  <c:v>2</c:v>
                </c:pt>
                <c:pt idx="9">
                  <c:v>10</c:v>
                </c:pt>
                <c:pt idx="10">
                  <c:v>0</c:v>
                </c:pt>
                <c:pt idx="11">
                  <c:v>0</c:v>
                </c:pt>
                <c:pt idx="12">
                  <c:v>0</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Dat_01!$C$276:$O$276</c:f>
              <c:numCache>
                <c:formatCode>#,##0.0</c:formatCode>
                <c:ptCount val="13"/>
                <c:pt idx="0">
                  <c:v>2324.9250000000002</c:v>
                </c:pt>
                <c:pt idx="1">
                  <c:v>2443.4</c:v>
                </c:pt>
                <c:pt idx="2">
                  <c:v>7915.4750000000004</c:v>
                </c:pt>
                <c:pt idx="3">
                  <c:v>6025.9750000000004</c:v>
                </c:pt>
                <c:pt idx="4">
                  <c:v>2653.85</c:v>
                </c:pt>
                <c:pt idx="5">
                  <c:v>4092.125</c:v>
                </c:pt>
                <c:pt idx="6">
                  <c:v>7436.6</c:v>
                </c:pt>
                <c:pt idx="7">
                  <c:v>5419.0249999999996</c:v>
                </c:pt>
                <c:pt idx="8">
                  <c:v>3986.1750000000002</c:v>
                </c:pt>
                <c:pt idx="9">
                  <c:v>5834.9250000000002</c:v>
                </c:pt>
                <c:pt idx="10">
                  <c:v>8104.85</c:v>
                </c:pt>
                <c:pt idx="11">
                  <c:v>5803.45</c:v>
                </c:pt>
                <c:pt idx="12">
                  <c:v>4828.8</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Dat_01!$C$277:$O$277</c:f>
              <c:numCache>
                <c:formatCode>#,##0.0</c:formatCode>
                <c:ptCount val="13"/>
                <c:pt idx="0">
                  <c:v>0</c:v>
                </c:pt>
                <c:pt idx="1">
                  <c:v>0</c:v>
                </c:pt>
                <c:pt idx="2">
                  <c:v>0</c:v>
                </c:pt>
                <c:pt idx="3">
                  <c:v>0</c:v>
                </c:pt>
                <c:pt idx="4">
                  <c:v>36.25</c:v>
                </c:pt>
                <c:pt idx="5">
                  <c:v>1</c:v>
                </c:pt>
                <c:pt idx="6">
                  <c:v>0</c:v>
                </c:pt>
                <c:pt idx="7">
                  <c:v>129</c:v>
                </c:pt>
                <c:pt idx="8">
                  <c:v>100.75</c:v>
                </c:pt>
                <c:pt idx="9">
                  <c:v>79.5</c:v>
                </c:pt>
                <c:pt idx="10">
                  <c:v>169</c:v>
                </c:pt>
                <c:pt idx="11">
                  <c:v>76.75</c:v>
                </c:pt>
                <c:pt idx="12">
                  <c:v>103.5</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Dat_01!$C$278:$O$278</c:f>
              <c:numCache>
                <c:formatCode>#,##0.0</c:formatCode>
                <c:ptCount val="13"/>
                <c:pt idx="0">
                  <c:v>33204.949999999997</c:v>
                </c:pt>
                <c:pt idx="1">
                  <c:v>14792.95</c:v>
                </c:pt>
                <c:pt idx="2">
                  <c:v>21120.174999999999</c:v>
                </c:pt>
                <c:pt idx="3">
                  <c:v>20281.5</c:v>
                </c:pt>
                <c:pt idx="4">
                  <c:v>40992.875</c:v>
                </c:pt>
                <c:pt idx="5">
                  <c:v>19780.849999999999</c:v>
                </c:pt>
                <c:pt idx="6">
                  <c:v>24586.275000000001</c:v>
                </c:pt>
                <c:pt idx="7">
                  <c:v>12669</c:v>
                </c:pt>
                <c:pt idx="8">
                  <c:v>25155.45</c:v>
                </c:pt>
                <c:pt idx="9">
                  <c:v>19543.974999999999</c:v>
                </c:pt>
                <c:pt idx="10">
                  <c:v>11408.825000000001</c:v>
                </c:pt>
                <c:pt idx="11">
                  <c:v>14501.075000000001</c:v>
                </c:pt>
                <c:pt idx="12">
                  <c:v>15439.674999999999</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Dat_01!$C$234:$O$234</c:f>
              <c:numCache>
                <c:formatCode>#,##0.0</c:formatCode>
                <c:ptCount val="13"/>
                <c:pt idx="0">
                  <c:v>16698.8</c:v>
                </c:pt>
                <c:pt idx="1">
                  <c:v>23769.14</c:v>
                </c:pt>
                <c:pt idx="2">
                  <c:v>22715.875</c:v>
                </c:pt>
                <c:pt idx="3">
                  <c:v>23154.973999999998</c:v>
                </c:pt>
                <c:pt idx="4">
                  <c:v>27594.224999999999</c:v>
                </c:pt>
                <c:pt idx="5">
                  <c:v>16767.825000000001</c:v>
                </c:pt>
                <c:pt idx="6">
                  <c:v>8009.9250000000002</c:v>
                </c:pt>
                <c:pt idx="7">
                  <c:v>8058.9750000000004</c:v>
                </c:pt>
                <c:pt idx="8">
                  <c:v>17383.25</c:v>
                </c:pt>
                <c:pt idx="9">
                  <c:v>19175.525000000001</c:v>
                </c:pt>
                <c:pt idx="10">
                  <c:v>10980.45</c:v>
                </c:pt>
                <c:pt idx="11">
                  <c:v>9205.7000000000007</c:v>
                </c:pt>
                <c:pt idx="12">
                  <c:v>28796.799999999999</c:v>
                </c:pt>
              </c:numCache>
            </c:numRef>
          </c:cat>
          <c:val>
            <c:numRef>
              <c:f>Dat_01!$C$415:$O$415</c:f>
              <c:numCache>
                <c:formatCode>#,##0.00</c:formatCode>
                <c:ptCount val="13"/>
                <c:pt idx="0">
                  <c:v>101.4055087979</c:v>
                </c:pt>
                <c:pt idx="1">
                  <c:v>54.715808582599998</c:v>
                </c:pt>
                <c:pt idx="2">
                  <c:v>16.668427916500001</c:v>
                </c:pt>
                <c:pt idx="3">
                  <c:v>43.211302561700002</c:v>
                </c:pt>
                <c:pt idx="4">
                  <c:v>60.628175665999997</c:v>
                </c:pt>
                <c:pt idx="5">
                  <c:v>89.108096908600004</c:v>
                </c:pt>
                <c:pt idx="6">
                  <c:v>97.5221057535</c:v>
                </c:pt>
                <c:pt idx="7">
                  <c:v>115.105830533</c:v>
                </c:pt>
                <c:pt idx="8">
                  <c:v>110.71596343</c:v>
                </c:pt>
                <c:pt idx="9">
                  <c:v>87.959738396199995</c:v>
                </c:pt>
                <c:pt idx="10">
                  <c:v>130.5386133415</c:v>
                </c:pt>
                <c:pt idx="11">
                  <c:v>147.46420178290001</c:v>
                </c:pt>
                <c:pt idx="12">
                  <c:v>132.73885826060001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16698.8</c:v>
                </c:pt>
                <c:pt idx="1">
                  <c:v>23769.14</c:v>
                </c:pt>
                <c:pt idx="2">
                  <c:v>22715.875</c:v>
                </c:pt>
                <c:pt idx="3">
                  <c:v>23154.973999999998</c:v>
                </c:pt>
                <c:pt idx="4">
                  <c:v>27594.224999999999</c:v>
                </c:pt>
                <c:pt idx="5">
                  <c:v>16767.825000000001</c:v>
                </c:pt>
                <c:pt idx="6">
                  <c:v>8009.9250000000002</c:v>
                </c:pt>
                <c:pt idx="7">
                  <c:v>8058.9750000000004</c:v>
                </c:pt>
                <c:pt idx="8">
                  <c:v>17383.25</c:v>
                </c:pt>
                <c:pt idx="9">
                  <c:v>19175.525000000001</c:v>
                </c:pt>
                <c:pt idx="10">
                  <c:v>10980.45</c:v>
                </c:pt>
                <c:pt idx="11">
                  <c:v>9205.7000000000007</c:v>
                </c:pt>
                <c:pt idx="12">
                  <c:v>28796.799999999999</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Dat_01!$C$279:$O$279</c:f>
              <c:numCache>
                <c:formatCode>#,##0.0</c:formatCode>
                <c:ptCount val="13"/>
                <c:pt idx="0">
                  <c:v>207079.95</c:v>
                </c:pt>
                <c:pt idx="1">
                  <c:v>132490.42499999999</c:v>
                </c:pt>
                <c:pt idx="2">
                  <c:v>166202.35</c:v>
                </c:pt>
                <c:pt idx="3">
                  <c:v>114429.25</c:v>
                </c:pt>
                <c:pt idx="4">
                  <c:v>127314.8</c:v>
                </c:pt>
                <c:pt idx="5">
                  <c:v>158080.29999999999</c:v>
                </c:pt>
                <c:pt idx="6">
                  <c:v>260795.625</c:v>
                </c:pt>
                <c:pt idx="7">
                  <c:v>223802.25</c:v>
                </c:pt>
                <c:pt idx="8">
                  <c:v>188836.15</c:v>
                </c:pt>
                <c:pt idx="9">
                  <c:v>169949.15</c:v>
                </c:pt>
                <c:pt idx="10">
                  <c:v>264495.95</c:v>
                </c:pt>
                <c:pt idx="11">
                  <c:v>289115.09999999998</c:v>
                </c:pt>
                <c:pt idx="12">
                  <c:v>212742.45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Dat_01!$D$323:$P$323</c:f>
              <c:numCache>
                <c:formatCode>#,##0.0</c:formatCode>
                <c:ptCount val="13"/>
                <c:pt idx="0">
                  <c:v>19280.5</c:v>
                </c:pt>
                <c:pt idx="1">
                  <c:v>11627.5</c:v>
                </c:pt>
                <c:pt idx="2">
                  <c:v>13597</c:v>
                </c:pt>
                <c:pt idx="3">
                  <c:v>15456</c:v>
                </c:pt>
                <c:pt idx="4">
                  <c:v>6692</c:v>
                </c:pt>
                <c:pt idx="5">
                  <c:v>5900</c:v>
                </c:pt>
                <c:pt idx="6">
                  <c:v>5752.1</c:v>
                </c:pt>
                <c:pt idx="7">
                  <c:v>2420</c:v>
                </c:pt>
                <c:pt idx="8">
                  <c:v>3714</c:v>
                </c:pt>
                <c:pt idx="9">
                  <c:v>6616</c:v>
                </c:pt>
                <c:pt idx="10">
                  <c:v>11168.4</c:v>
                </c:pt>
                <c:pt idx="11">
                  <c:v>9655</c:v>
                </c:pt>
                <c:pt idx="12">
                  <c:v>18787</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Dat_01!$D$324:$P$324</c:f>
              <c:numCache>
                <c:formatCode>#,##0.0</c:formatCode>
                <c:ptCount val="13"/>
                <c:pt idx="0">
                  <c:v>39323.5</c:v>
                </c:pt>
                <c:pt idx="1">
                  <c:v>62430.3</c:v>
                </c:pt>
                <c:pt idx="2">
                  <c:v>121758.8</c:v>
                </c:pt>
                <c:pt idx="3">
                  <c:v>177774.8</c:v>
                </c:pt>
                <c:pt idx="4">
                  <c:v>141126.39999999999</c:v>
                </c:pt>
                <c:pt idx="5">
                  <c:v>125705</c:v>
                </c:pt>
                <c:pt idx="6">
                  <c:v>136962</c:v>
                </c:pt>
                <c:pt idx="7">
                  <c:v>164237</c:v>
                </c:pt>
                <c:pt idx="8">
                  <c:v>104951</c:v>
                </c:pt>
                <c:pt idx="9">
                  <c:v>134927</c:v>
                </c:pt>
                <c:pt idx="10">
                  <c:v>91782</c:v>
                </c:pt>
                <c:pt idx="11">
                  <c:v>114637.2</c:v>
                </c:pt>
                <c:pt idx="12">
                  <c:v>67725.7</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106308.5</c:v>
                </c:pt>
                <c:pt idx="1">
                  <c:v>70662.5</c:v>
                </c:pt>
                <c:pt idx="2">
                  <c:v>111953</c:v>
                </c:pt>
                <c:pt idx="3">
                  <c:v>78770.25</c:v>
                </c:pt>
                <c:pt idx="4">
                  <c:v>89311.5</c:v>
                </c:pt>
                <c:pt idx="5">
                  <c:v>127607.75</c:v>
                </c:pt>
                <c:pt idx="6">
                  <c:v>199179.5</c:v>
                </c:pt>
                <c:pt idx="7">
                  <c:v>129470.5</c:v>
                </c:pt>
                <c:pt idx="8">
                  <c:v>94718.25</c:v>
                </c:pt>
                <c:pt idx="9">
                  <c:v>109914.5</c:v>
                </c:pt>
                <c:pt idx="10">
                  <c:v>123489</c:v>
                </c:pt>
                <c:pt idx="11">
                  <c:v>186787.25</c:v>
                </c:pt>
                <c:pt idx="12">
                  <c:v>90348.25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283181.3</c:v>
                </c:pt>
                <c:pt idx="1">
                  <c:v>334851.02500000002</c:v>
                </c:pt>
                <c:pt idx="2">
                  <c:v>361856.35</c:v>
                </c:pt>
                <c:pt idx="3">
                  <c:v>528469.05000000005</c:v>
                </c:pt>
                <c:pt idx="4">
                  <c:v>326272.95</c:v>
                </c:pt>
                <c:pt idx="5">
                  <c:v>272576.55</c:v>
                </c:pt>
                <c:pt idx="6">
                  <c:v>250370.42499999999</c:v>
                </c:pt>
                <c:pt idx="7">
                  <c:v>336517.5</c:v>
                </c:pt>
                <c:pt idx="8">
                  <c:v>360452.6</c:v>
                </c:pt>
                <c:pt idx="9">
                  <c:v>344476.7</c:v>
                </c:pt>
                <c:pt idx="10">
                  <c:v>262451.25</c:v>
                </c:pt>
                <c:pt idx="11">
                  <c:v>255089.65</c:v>
                </c:pt>
                <c:pt idx="12">
                  <c:v>332759.75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50841.7</c:v>
                </c:pt>
                <c:pt idx="1">
                  <c:v>25431.7</c:v>
                </c:pt>
                <c:pt idx="2">
                  <c:v>13680.4</c:v>
                </c:pt>
                <c:pt idx="3">
                  <c:v>11694</c:v>
                </c:pt>
                <c:pt idx="4">
                  <c:v>26707</c:v>
                </c:pt>
                <c:pt idx="5">
                  <c:v>24345.4</c:v>
                </c:pt>
                <c:pt idx="6">
                  <c:v>40017.800000000003</c:v>
                </c:pt>
                <c:pt idx="7">
                  <c:v>47585.5</c:v>
                </c:pt>
                <c:pt idx="8">
                  <c:v>30360.7</c:v>
                </c:pt>
                <c:pt idx="9">
                  <c:v>55216.2</c:v>
                </c:pt>
                <c:pt idx="10">
                  <c:v>55068</c:v>
                </c:pt>
                <c:pt idx="11">
                  <c:v>32982.699999999997</c:v>
                </c:pt>
                <c:pt idx="12">
                  <c:v>25033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100314.7</c:v>
                </c:pt>
                <c:pt idx="1">
                  <c:v>64202.5</c:v>
                </c:pt>
                <c:pt idx="2">
                  <c:v>56049.9</c:v>
                </c:pt>
                <c:pt idx="3">
                  <c:v>56392</c:v>
                </c:pt>
                <c:pt idx="4">
                  <c:v>48172.5</c:v>
                </c:pt>
                <c:pt idx="5">
                  <c:v>42929.599999999999</c:v>
                </c:pt>
                <c:pt idx="6">
                  <c:v>32491</c:v>
                </c:pt>
                <c:pt idx="7">
                  <c:v>37214</c:v>
                </c:pt>
                <c:pt idx="8">
                  <c:v>55114.6</c:v>
                </c:pt>
                <c:pt idx="9">
                  <c:v>85933.9</c:v>
                </c:pt>
                <c:pt idx="10">
                  <c:v>85446.1</c:v>
                </c:pt>
                <c:pt idx="11">
                  <c:v>61412.2</c:v>
                </c:pt>
                <c:pt idx="12">
                  <c:v>117100.4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274962.25</c:v>
                </c:pt>
                <c:pt idx="1">
                  <c:v>288599.5</c:v>
                </c:pt>
                <c:pt idx="2">
                  <c:v>260521.75</c:v>
                </c:pt>
                <c:pt idx="3">
                  <c:v>367665.25</c:v>
                </c:pt>
                <c:pt idx="4">
                  <c:v>215330.75</c:v>
                </c:pt>
                <c:pt idx="5">
                  <c:v>177774</c:v>
                </c:pt>
                <c:pt idx="6">
                  <c:v>118924</c:v>
                </c:pt>
                <c:pt idx="7">
                  <c:v>160328.25</c:v>
                </c:pt>
                <c:pt idx="8">
                  <c:v>243145</c:v>
                </c:pt>
                <c:pt idx="9">
                  <c:v>284049</c:v>
                </c:pt>
                <c:pt idx="10">
                  <c:v>159008</c:v>
                </c:pt>
                <c:pt idx="11">
                  <c:v>122864.5</c:v>
                </c:pt>
                <c:pt idx="12">
                  <c:v>265986.25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0</c:v>
                </c:pt>
                <c:pt idx="1">
                  <c:v>155</c:v>
                </c:pt>
                <c:pt idx="2">
                  <c:v>0</c:v>
                </c:pt>
                <c:pt idx="3">
                  <c:v>10</c:v>
                </c:pt>
                <c:pt idx="4">
                  <c:v>0</c:v>
                </c:pt>
                <c:pt idx="5">
                  <c:v>1365.3</c:v>
                </c:pt>
                <c:pt idx="6">
                  <c:v>3894.75</c:v>
                </c:pt>
                <c:pt idx="7">
                  <c:v>3825.5839999999998</c:v>
                </c:pt>
                <c:pt idx="8">
                  <c:v>1455.4469999999999</c:v>
                </c:pt>
                <c:pt idx="9">
                  <c:v>2701.1750000000002</c:v>
                </c:pt>
                <c:pt idx="10">
                  <c:v>217.3</c:v>
                </c:pt>
                <c:pt idx="11">
                  <c:v>8987.6</c:v>
                </c:pt>
                <c:pt idx="12">
                  <c:v>690.8</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519.226</c:v>
                </c:pt>
                <c:pt idx="1">
                  <c:v>1004.436</c:v>
                </c:pt>
                <c:pt idx="2">
                  <c:v>1079.9839999999999</c:v>
                </c:pt>
                <c:pt idx="3">
                  <c:v>1089.4069999999999</c:v>
                </c:pt>
                <c:pt idx="4">
                  <c:v>1088.4359999999999</c:v>
                </c:pt>
                <c:pt idx="5">
                  <c:v>1965.856</c:v>
                </c:pt>
                <c:pt idx="6">
                  <c:v>2542.4380000000001</c:v>
                </c:pt>
                <c:pt idx="7">
                  <c:v>1938.558</c:v>
                </c:pt>
                <c:pt idx="8">
                  <c:v>847.53599999999994</c:v>
                </c:pt>
                <c:pt idx="9">
                  <c:v>1318.671</c:v>
                </c:pt>
                <c:pt idx="10">
                  <c:v>32.625</c:v>
                </c:pt>
                <c:pt idx="11">
                  <c:v>840.12099999999998</c:v>
                </c:pt>
                <c:pt idx="12">
                  <c:v>17.097000000000001</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28959.425999999999</c:v>
                </c:pt>
                <c:pt idx="1">
                  <c:v>16487.8</c:v>
                </c:pt>
                <c:pt idx="2">
                  <c:v>4441.0829999999996</c:v>
                </c:pt>
                <c:pt idx="3">
                  <c:v>6010.1840000000002</c:v>
                </c:pt>
                <c:pt idx="4">
                  <c:v>7774.2160000000003</c:v>
                </c:pt>
                <c:pt idx="5">
                  <c:v>1115.75</c:v>
                </c:pt>
                <c:pt idx="6">
                  <c:v>2546.0500000000002</c:v>
                </c:pt>
                <c:pt idx="7">
                  <c:v>3493.634</c:v>
                </c:pt>
                <c:pt idx="8">
                  <c:v>2673.65</c:v>
                </c:pt>
                <c:pt idx="9">
                  <c:v>11020.95</c:v>
                </c:pt>
                <c:pt idx="10">
                  <c:v>20239.797999999999</c:v>
                </c:pt>
                <c:pt idx="11">
                  <c:v>13384.6</c:v>
                </c:pt>
                <c:pt idx="12">
                  <c:v>14398.216</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15518.136</c:v>
                </c:pt>
                <c:pt idx="1">
                  <c:v>24732.25</c:v>
                </c:pt>
                <c:pt idx="2">
                  <c:v>23063.254000000001</c:v>
                </c:pt>
                <c:pt idx="3">
                  <c:v>48982.904000000002</c:v>
                </c:pt>
                <c:pt idx="4">
                  <c:v>23862.542000000001</c:v>
                </c:pt>
                <c:pt idx="5">
                  <c:v>17546.748</c:v>
                </c:pt>
                <c:pt idx="6">
                  <c:v>38321.057000000001</c:v>
                </c:pt>
                <c:pt idx="7">
                  <c:v>57683.41</c:v>
                </c:pt>
                <c:pt idx="8">
                  <c:v>51036.108999999997</c:v>
                </c:pt>
                <c:pt idx="9">
                  <c:v>38607.135999999999</c:v>
                </c:pt>
                <c:pt idx="10">
                  <c:v>17134.645</c:v>
                </c:pt>
                <c:pt idx="11">
                  <c:v>29817.697</c:v>
                </c:pt>
                <c:pt idx="12">
                  <c:v>16272.343999999999</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0</c:v>
                </c:pt>
                <c:pt idx="3">
                  <c:v>0</c:v>
                </c:pt>
                <c:pt idx="4">
                  <c:v>0</c:v>
                </c:pt>
                <c:pt idx="5">
                  <c:v>42.920999999999999</c:v>
                </c:pt>
                <c:pt idx="6">
                  <c:v>23.96</c:v>
                </c:pt>
                <c:pt idx="7">
                  <c:v>21.622</c:v>
                </c:pt>
                <c:pt idx="8">
                  <c:v>0</c:v>
                </c:pt>
                <c:pt idx="9">
                  <c:v>152.154</c:v>
                </c:pt>
                <c:pt idx="10">
                  <c:v>85.46</c:v>
                </c:pt>
                <c:pt idx="11">
                  <c:v>414.49799999999999</c:v>
                </c:pt>
                <c:pt idx="12">
                  <c:v>4.125</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121.52500000000001</c:v>
                </c:pt>
                <c:pt idx="1">
                  <c:v>258.358</c:v>
                </c:pt>
                <c:pt idx="2">
                  <c:v>111.10599999999999</c:v>
                </c:pt>
                <c:pt idx="3">
                  <c:v>1125.6949999999999</c:v>
                </c:pt>
                <c:pt idx="4">
                  <c:v>712.31700000000001</c:v>
                </c:pt>
                <c:pt idx="5">
                  <c:v>365.18</c:v>
                </c:pt>
                <c:pt idx="6">
                  <c:v>1415.2339999999999</c:v>
                </c:pt>
                <c:pt idx="7">
                  <c:v>183.179</c:v>
                </c:pt>
                <c:pt idx="8">
                  <c:v>614.29399999999998</c:v>
                </c:pt>
                <c:pt idx="9">
                  <c:v>562.18100000000004</c:v>
                </c:pt>
                <c:pt idx="10">
                  <c:v>119.363</c:v>
                </c:pt>
                <c:pt idx="11">
                  <c:v>524.98400000000004</c:v>
                </c:pt>
                <c:pt idx="12">
                  <c:v>735.99199999999996</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rgbClr val="E5DDB7"/>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170.661</c:v>
                </c:pt>
                <c:pt idx="1">
                  <c:v>77.587000000000003</c:v>
                </c:pt>
                <c:pt idx="2">
                  <c:v>48.784999999999997</c:v>
                </c:pt>
                <c:pt idx="3">
                  <c:v>541.41</c:v>
                </c:pt>
                <c:pt idx="4">
                  <c:v>490.61900000000003</c:v>
                </c:pt>
                <c:pt idx="5">
                  <c:v>598.42600000000004</c:v>
                </c:pt>
                <c:pt idx="6">
                  <c:v>669.4</c:v>
                </c:pt>
                <c:pt idx="7">
                  <c:v>1386.989</c:v>
                </c:pt>
                <c:pt idx="8">
                  <c:v>1121.5920000000001</c:v>
                </c:pt>
                <c:pt idx="9">
                  <c:v>696.14200000000005</c:v>
                </c:pt>
                <c:pt idx="10">
                  <c:v>21.475000000000001</c:v>
                </c:pt>
                <c:pt idx="11">
                  <c:v>673.13300000000004</c:v>
                </c:pt>
                <c:pt idx="12">
                  <c:v>10.464</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291.70400000000001</c:v>
                </c:pt>
                <c:pt idx="1">
                  <c:v>0.32300000000000001</c:v>
                </c:pt>
                <c:pt idx="2">
                  <c:v>167.35599999999999</c:v>
                </c:pt>
                <c:pt idx="3">
                  <c:v>107.09699999999999</c:v>
                </c:pt>
                <c:pt idx="4">
                  <c:v>78.733000000000004</c:v>
                </c:pt>
                <c:pt idx="5">
                  <c:v>91.48</c:v>
                </c:pt>
                <c:pt idx="6">
                  <c:v>168.80799999999999</c:v>
                </c:pt>
                <c:pt idx="7">
                  <c:v>378.25400000000002</c:v>
                </c:pt>
                <c:pt idx="8">
                  <c:v>0</c:v>
                </c:pt>
                <c:pt idx="9">
                  <c:v>6.06</c:v>
                </c:pt>
                <c:pt idx="10">
                  <c:v>0</c:v>
                </c:pt>
                <c:pt idx="11">
                  <c:v>0</c:v>
                </c:pt>
                <c:pt idx="12">
                  <c:v>0</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675.24599999999998</c:v>
                </c:pt>
                <c:pt idx="1">
                  <c:v>1357.9770000000001</c:v>
                </c:pt>
                <c:pt idx="2">
                  <c:v>504.74200000000002</c:v>
                </c:pt>
                <c:pt idx="3">
                  <c:v>5828.8280000000004</c:v>
                </c:pt>
                <c:pt idx="4">
                  <c:v>8387.5049999999992</c:v>
                </c:pt>
                <c:pt idx="5">
                  <c:v>11010.724</c:v>
                </c:pt>
                <c:pt idx="6">
                  <c:v>10833.011</c:v>
                </c:pt>
                <c:pt idx="7">
                  <c:v>4597.1080000000002</c:v>
                </c:pt>
                <c:pt idx="8">
                  <c:v>4121.2039999999997</c:v>
                </c:pt>
                <c:pt idx="9">
                  <c:v>6669.0439999999999</c:v>
                </c:pt>
                <c:pt idx="10">
                  <c:v>4289.0709999999999</c:v>
                </c:pt>
                <c:pt idx="11">
                  <c:v>580.30200000000002</c:v>
                </c:pt>
                <c:pt idx="12">
                  <c:v>297.23099999999999</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466.6</c:v>
                </c:pt>
                <c:pt idx="1">
                  <c:v>1117.1780000000001</c:v>
                </c:pt>
                <c:pt idx="2">
                  <c:v>595.601</c:v>
                </c:pt>
                <c:pt idx="3">
                  <c:v>6543.5209999999997</c:v>
                </c:pt>
                <c:pt idx="4">
                  <c:v>12018.695</c:v>
                </c:pt>
                <c:pt idx="5">
                  <c:v>10891.841</c:v>
                </c:pt>
                <c:pt idx="6">
                  <c:v>5665.9579999999996</c:v>
                </c:pt>
                <c:pt idx="7">
                  <c:v>13777.802</c:v>
                </c:pt>
                <c:pt idx="8">
                  <c:v>8695.57</c:v>
                </c:pt>
                <c:pt idx="9">
                  <c:v>685.92</c:v>
                </c:pt>
                <c:pt idx="10">
                  <c:v>0</c:v>
                </c:pt>
                <c:pt idx="11">
                  <c:v>12.4</c:v>
                </c:pt>
                <c:pt idx="12">
                  <c:v>102.47499999999999</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0</c:v>
                </c:pt>
                <c:pt idx="1">
                  <c:v>1146.375</c:v>
                </c:pt>
                <c:pt idx="2">
                  <c:v>4757.4750000000004</c:v>
                </c:pt>
                <c:pt idx="3">
                  <c:v>4314.3549999999996</c:v>
                </c:pt>
                <c:pt idx="4">
                  <c:v>157.5</c:v>
                </c:pt>
                <c:pt idx="5">
                  <c:v>0</c:v>
                </c:pt>
                <c:pt idx="6">
                  <c:v>1978.1659999999999</c:v>
                </c:pt>
                <c:pt idx="7">
                  <c:v>0</c:v>
                </c:pt>
                <c:pt idx="8">
                  <c:v>996.77499999999998</c:v>
                </c:pt>
                <c:pt idx="9">
                  <c:v>3929.3</c:v>
                </c:pt>
                <c:pt idx="10">
                  <c:v>3606.1</c:v>
                </c:pt>
                <c:pt idx="11">
                  <c:v>4997.3999999999996</c:v>
                </c:pt>
                <c:pt idx="12">
                  <c:v>649.82500000000005</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32.454013324729601</c:v>
                </c:pt>
                <c:pt idx="1">
                  <c:v>7.4689793154687303</c:v>
                </c:pt>
                <c:pt idx="2">
                  <c:v>-1.1678273516247899</c:v>
                </c:pt>
                <c:pt idx="3">
                  <c:v>-20.751712967742399</c:v>
                </c:pt>
                <c:pt idx="4">
                  <c:v>-1.8577352138184799</c:v>
                </c:pt>
                <c:pt idx="5">
                  <c:v>-4.4592792234274699</c:v>
                </c:pt>
                <c:pt idx="6">
                  <c:v>-6.9976926164704096</c:v>
                </c:pt>
                <c:pt idx="7">
                  <c:v>-11.445581946156199</c:v>
                </c:pt>
                <c:pt idx="8">
                  <c:v>-16.474276763016899</c:v>
                </c:pt>
                <c:pt idx="9">
                  <c:v>6.6043489614488999</c:v>
                </c:pt>
                <c:pt idx="10">
                  <c:v>33.4109724621281</c:v>
                </c:pt>
                <c:pt idx="11">
                  <c:v>21.356870173270401</c:v>
                </c:pt>
                <c:pt idx="12">
                  <c:v>34.347338602035499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Dat_01!$C$341:$O$341</c:f>
              <c:numCache>
                <c:formatCode>#,##0.0</c:formatCode>
                <c:ptCount val="13"/>
                <c:pt idx="0">
                  <c:v>12198.75</c:v>
                </c:pt>
                <c:pt idx="1">
                  <c:v>340</c:v>
                </c:pt>
                <c:pt idx="2">
                  <c:v>0</c:v>
                </c:pt>
                <c:pt idx="3">
                  <c:v>0</c:v>
                </c:pt>
                <c:pt idx="4">
                  <c:v>0</c:v>
                </c:pt>
                <c:pt idx="5">
                  <c:v>4632.6000000000004</c:v>
                </c:pt>
                <c:pt idx="6">
                  <c:v>10899</c:v>
                </c:pt>
                <c:pt idx="7">
                  <c:v>3159</c:v>
                </c:pt>
                <c:pt idx="8">
                  <c:v>6921</c:v>
                </c:pt>
                <c:pt idx="9">
                  <c:v>28142.167000000001</c:v>
                </c:pt>
                <c:pt idx="10">
                  <c:v>22436</c:v>
                </c:pt>
                <c:pt idx="11">
                  <c:v>15140</c:v>
                </c:pt>
                <c:pt idx="12">
                  <c:v>14285</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Dat_01!$C$342:$O$342</c:f>
              <c:numCache>
                <c:formatCode>#,##0.0</c:formatCode>
                <c:ptCount val="13"/>
                <c:pt idx="0">
                  <c:v>484724.1</c:v>
                </c:pt>
                <c:pt idx="1">
                  <c:v>419985.842</c:v>
                </c:pt>
                <c:pt idx="2">
                  <c:v>451230.06699999998</c:v>
                </c:pt>
                <c:pt idx="3">
                  <c:v>529199.00800000003</c:v>
                </c:pt>
                <c:pt idx="4">
                  <c:v>292755.49599999998</c:v>
                </c:pt>
                <c:pt idx="5">
                  <c:v>305769.40000000002</c:v>
                </c:pt>
                <c:pt idx="6">
                  <c:v>417951.071</c:v>
                </c:pt>
                <c:pt idx="7">
                  <c:v>452723.04200000002</c:v>
                </c:pt>
                <c:pt idx="8">
                  <c:v>430782.21600000001</c:v>
                </c:pt>
                <c:pt idx="9">
                  <c:v>609242.973</c:v>
                </c:pt>
                <c:pt idx="10">
                  <c:v>435419.359</c:v>
                </c:pt>
                <c:pt idx="11">
                  <c:v>394503.52399999998</c:v>
                </c:pt>
                <c:pt idx="12">
                  <c:v>451588.02500000002</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Dat_01!$C$343:$O$343</c:f>
              <c:numCache>
                <c:formatCode>#,##0.0</c:formatCode>
                <c:ptCount val="13"/>
                <c:pt idx="0">
                  <c:v>0</c:v>
                </c:pt>
                <c:pt idx="1">
                  <c:v>0</c:v>
                </c:pt>
                <c:pt idx="2">
                  <c:v>0</c:v>
                </c:pt>
                <c:pt idx="3">
                  <c:v>0</c:v>
                </c:pt>
                <c:pt idx="4">
                  <c:v>0</c:v>
                </c:pt>
                <c:pt idx="5">
                  <c:v>0</c:v>
                </c:pt>
                <c:pt idx="6">
                  <c:v>8.61</c:v>
                </c:pt>
                <c:pt idx="7">
                  <c:v>0</c:v>
                </c:pt>
                <c:pt idx="8">
                  <c:v>0</c:v>
                </c:pt>
                <c:pt idx="9">
                  <c:v>1.546</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Dat_01!$C$344:$O$344</c:f>
              <c:numCache>
                <c:formatCode>#,##0.0</c:formatCode>
                <c:ptCount val="13"/>
                <c:pt idx="0">
                  <c:v>596.03300000000002</c:v>
                </c:pt>
                <c:pt idx="1">
                  <c:v>186.65</c:v>
                </c:pt>
                <c:pt idx="2">
                  <c:v>6444.8249999999998</c:v>
                </c:pt>
                <c:pt idx="3">
                  <c:v>1372.1669999999999</c:v>
                </c:pt>
                <c:pt idx="4">
                  <c:v>1162.867</c:v>
                </c:pt>
                <c:pt idx="5">
                  <c:v>1212.25</c:v>
                </c:pt>
                <c:pt idx="6">
                  <c:v>5738.7330000000002</c:v>
                </c:pt>
                <c:pt idx="7">
                  <c:v>9876.75</c:v>
                </c:pt>
                <c:pt idx="8">
                  <c:v>408.33300000000003</c:v>
                </c:pt>
                <c:pt idx="9">
                  <c:v>583</c:v>
                </c:pt>
                <c:pt idx="10">
                  <c:v>5128.25</c:v>
                </c:pt>
                <c:pt idx="11">
                  <c:v>267.5</c:v>
                </c:pt>
                <c:pt idx="12">
                  <c:v>1875</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Dat_01!$C$345:$O$345</c:f>
              <c:numCache>
                <c:formatCode>#,##0.0</c:formatCode>
                <c:ptCount val="13"/>
                <c:pt idx="0">
                  <c:v>0</c:v>
                </c:pt>
                <c:pt idx="1">
                  <c:v>51</c:v>
                </c:pt>
                <c:pt idx="2">
                  <c:v>423.8</c:v>
                </c:pt>
                <c:pt idx="3">
                  <c:v>383</c:v>
                </c:pt>
                <c:pt idx="4">
                  <c:v>1163.7</c:v>
                </c:pt>
                <c:pt idx="5">
                  <c:v>2708.7</c:v>
                </c:pt>
                <c:pt idx="6">
                  <c:v>0</c:v>
                </c:pt>
                <c:pt idx="7">
                  <c:v>2741.6</c:v>
                </c:pt>
                <c:pt idx="8">
                  <c:v>372</c:v>
                </c:pt>
                <c:pt idx="9">
                  <c:v>1567.5</c:v>
                </c:pt>
                <c:pt idx="10">
                  <c:v>190</c:v>
                </c:pt>
                <c:pt idx="11">
                  <c:v>102</c:v>
                </c:pt>
                <c:pt idx="12">
                  <c:v>40</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Dat_01!$C$346:$O$346</c:f>
              <c:numCache>
                <c:formatCode>#,##0.0</c:formatCode>
                <c:ptCount val="13"/>
                <c:pt idx="0">
                  <c:v>0</c:v>
                </c:pt>
                <c:pt idx="1">
                  <c:v>0</c:v>
                </c:pt>
                <c:pt idx="2">
                  <c:v>0</c:v>
                </c:pt>
                <c:pt idx="3">
                  <c:v>0</c:v>
                </c:pt>
                <c:pt idx="4">
                  <c:v>0</c:v>
                </c:pt>
                <c:pt idx="5">
                  <c:v>0</c:v>
                </c:pt>
                <c:pt idx="6">
                  <c:v>0</c:v>
                </c:pt>
                <c:pt idx="7">
                  <c:v>0</c:v>
                </c:pt>
                <c:pt idx="8">
                  <c:v>116.667</c:v>
                </c:pt>
                <c:pt idx="9">
                  <c:v>0.17299999999999999</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Dat_01!$C$348:$O$348</c:f>
              <c:numCache>
                <c:formatCode>#,##0.0</c:formatCode>
                <c:ptCount val="13"/>
                <c:pt idx="0">
                  <c:v>200</c:v>
                </c:pt>
                <c:pt idx="1">
                  <c:v>0</c:v>
                </c:pt>
                <c:pt idx="2">
                  <c:v>0</c:v>
                </c:pt>
                <c:pt idx="3">
                  <c:v>3583.433</c:v>
                </c:pt>
                <c:pt idx="4">
                  <c:v>489</c:v>
                </c:pt>
                <c:pt idx="5">
                  <c:v>0</c:v>
                </c:pt>
                <c:pt idx="6">
                  <c:v>755.27</c:v>
                </c:pt>
                <c:pt idx="7">
                  <c:v>0</c:v>
                </c:pt>
                <c:pt idx="8">
                  <c:v>0</c:v>
                </c:pt>
                <c:pt idx="9">
                  <c:v>51.587000000000003</c:v>
                </c:pt>
                <c:pt idx="10">
                  <c:v>0</c:v>
                </c:pt>
                <c:pt idx="11">
                  <c:v>138</c:v>
                </c:pt>
                <c:pt idx="12">
                  <c:v>0</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Dat_01!$C$350:$O$350</c:f>
              <c:numCache>
                <c:formatCode>#,##0.0</c:formatCode>
                <c:ptCount val="13"/>
                <c:pt idx="0">
                  <c:v>0</c:v>
                </c:pt>
                <c:pt idx="1">
                  <c:v>0</c:v>
                </c:pt>
                <c:pt idx="2">
                  <c:v>0</c:v>
                </c:pt>
                <c:pt idx="3">
                  <c:v>0</c:v>
                </c:pt>
                <c:pt idx="4">
                  <c:v>0</c:v>
                </c:pt>
                <c:pt idx="5">
                  <c:v>0</c:v>
                </c:pt>
                <c:pt idx="6">
                  <c:v>0</c:v>
                </c:pt>
                <c:pt idx="7">
                  <c:v>0</c:v>
                </c:pt>
                <c:pt idx="8">
                  <c:v>18.332999999999998</c:v>
                </c:pt>
                <c:pt idx="9">
                  <c:v>0</c:v>
                </c:pt>
                <c:pt idx="10">
                  <c:v>0</c:v>
                </c:pt>
                <c:pt idx="11">
                  <c:v>6190</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Dat_01!$C$351:$O$351</c:f>
              <c:numCache>
                <c:formatCode>#,##0.0</c:formatCode>
                <c:ptCount val="13"/>
                <c:pt idx="0">
                  <c:v>0</c:v>
                </c:pt>
                <c:pt idx="1">
                  <c:v>6670</c:v>
                </c:pt>
                <c:pt idx="2">
                  <c:v>0</c:v>
                </c:pt>
                <c:pt idx="3">
                  <c:v>0</c:v>
                </c:pt>
                <c:pt idx="4">
                  <c:v>0</c:v>
                </c:pt>
                <c:pt idx="5">
                  <c:v>0</c:v>
                </c:pt>
                <c:pt idx="6">
                  <c:v>20.260000000000002</c:v>
                </c:pt>
                <c:pt idx="7">
                  <c:v>0</c:v>
                </c:pt>
                <c:pt idx="8">
                  <c:v>0</c:v>
                </c:pt>
                <c:pt idx="9">
                  <c:v>4.1210000000000004</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Dat_01!$C$352:$O$352</c:f>
              <c:numCache>
                <c:formatCode>#,##0.0</c:formatCode>
                <c:ptCount val="13"/>
                <c:pt idx="0">
                  <c:v>0</c:v>
                </c:pt>
                <c:pt idx="1">
                  <c:v>0</c:v>
                </c:pt>
                <c:pt idx="2">
                  <c:v>18</c:v>
                </c:pt>
                <c:pt idx="3">
                  <c:v>24.632999999999999</c:v>
                </c:pt>
                <c:pt idx="4">
                  <c:v>0</c:v>
                </c:pt>
                <c:pt idx="5">
                  <c:v>0</c:v>
                </c:pt>
                <c:pt idx="6">
                  <c:v>29.28</c:v>
                </c:pt>
                <c:pt idx="7">
                  <c:v>0</c:v>
                </c:pt>
                <c:pt idx="8">
                  <c:v>0</c:v>
                </c:pt>
                <c:pt idx="9">
                  <c:v>17.093</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Dat_01!$C$353:$O$353</c:f>
              <c:numCache>
                <c:formatCode>#,##0.0</c:formatCode>
                <c:ptCount val="13"/>
                <c:pt idx="0">
                  <c:v>0</c:v>
                </c:pt>
                <c:pt idx="1">
                  <c:v>0</c:v>
                </c:pt>
                <c:pt idx="2">
                  <c:v>0</c:v>
                </c:pt>
                <c:pt idx="3">
                  <c:v>0</c:v>
                </c:pt>
                <c:pt idx="4">
                  <c:v>0</c:v>
                </c:pt>
                <c:pt idx="5">
                  <c:v>0</c:v>
                </c:pt>
                <c:pt idx="6">
                  <c:v>2.4500000000000002</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0.44</c:v>
                </c:pt>
                <c:pt idx="10">
                  <c:v>0</c:v>
                </c:pt>
                <c:pt idx="11">
                  <c:v>0</c:v>
                </c:pt>
                <c:pt idx="12">
                  <c:v>0.27500000000000002</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1329.5</c:v>
                </c:pt>
                <c:pt idx="1">
                  <c:v>100</c:v>
                </c:pt>
                <c:pt idx="2">
                  <c:v>66.8</c:v>
                </c:pt>
                <c:pt idx="3">
                  <c:v>1504.75</c:v>
                </c:pt>
                <c:pt idx="4">
                  <c:v>2343.8330000000001</c:v>
                </c:pt>
                <c:pt idx="5">
                  <c:v>854.25</c:v>
                </c:pt>
                <c:pt idx="6">
                  <c:v>6969.8</c:v>
                </c:pt>
                <c:pt idx="7">
                  <c:v>24880.207999999999</c:v>
                </c:pt>
                <c:pt idx="8">
                  <c:v>110</c:v>
                </c:pt>
                <c:pt idx="9">
                  <c:v>458.57299999999998</c:v>
                </c:pt>
                <c:pt idx="10">
                  <c:v>850</c:v>
                </c:pt>
                <c:pt idx="11">
                  <c:v>540.75</c:v>
                </c:pt>
                <c:pt idx="12">
                  <c:v>66.5</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223.77072503209999</c:v>
                </c:pt>
                <c:pt idx="1">
                  <c:v>201.27576560279999</c:v>
                </c:pt>
                <c:pt idx="2">
                  <c:v>195.80704604330001</c:v>
                </c:pt>
                <c:pt idx="3">
                  <c:v>207.71955763529999</c:v>
                </c:pt>
                <c:pt idx="4">
                  <c:v>240.31007922480001</c:v>
                </c:pt>
                <c:pt idx="5">
                  <c:v>243.8197242377</c:v>
                </c:pt>
                <c:pt idx="6">
                  <c:v>225.21968150449999</c:v>
                </c:pt>
                <c:pt idx="7">
                  <c:v>235.40917235090001</c:v>
                </c:pt>
                <c:pt idx="8">
                  <c:v>250.48584114369999</c:v>
                </c:pt>
                <c:pt idx="9">
                  <c:v>255.80172168359999</c:v>
                </c:pt>
                <c:pt idx="10">
                  <c:v>283.00054653040002</c:v>
                </c:pt>
                <c:pt idx="11">
                  <c:v>303.92478247470001</c:v>
                </c:pt>
                <c:pt idx="12">
                  <c:v>295.65828921709999</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0.66469</cdr:x>
      <cdr:y>0.22521</cdr:y>
    </cdr:from>
    <cdr:to>
      <cdr:x>0.79418</cdr:x>
      <cdr:y>0.28621</cdr:y>
    </cdr:to>
    <cdr:sp macro="" textlink="">
      <cdr:nvSpPr>
        <cdr:cNvPr id="2" name="Texto 7"/>
        <cdr:cNvSpPr txBox="1">
          <a:spLocks xmlns:a="http://schemas.openxmlformats.org/drawingml/2006/main" noChangeArrowheads="1"/>
        </cdr:cNvSpPr>
      </cdr:nvSpPr>
      <cdr:spPr bwMode="auto">
        <a:xfrm xmlns:a="http://schemas.openxmlformats.org/drawingml/2006/main">
          <a:off x="3748040" y="579181"/>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0.48554</cdr:x>
      <cdr:y>0.62742</cdr:y>
    </cdr:from>
    <cdr:to>
      <cdr:x>0.61504</cdr:x>
      <cdr:y>0.68841</cdr:y>
    </cdr:to>
    <cdr:sp macro="" textlink="">
      <cdr:nvSpPr>
        <cdr:cNvPr id="3" name="Texto 7"/>
        <cdr:cNvSpPr txBox="1">
          <a:spLocks xmlns:a="http://schemas.openxmlformats.org/drawingml/2006/main" noChangeArrowheads="1"/>
        </cdr:cNvSpPr>
      </cdr:nvSpPr>
      <cdr:spPr bwMode="auto">
        <a:xfrm xmlns:a="http://schemas.openxmlformats.org/drawingml/2006/main">
          <a:off x="2737887" y="1613569"/>
          <a:ext cx="730225"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0.89246</cdr:x>
      <cdr:y>0.19363</cdr:y>
    </cdr:from>
    <cdr:to>
      <cdr:x>0.89282</cdr:x>
      <cdr:y>0.87918</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6290527" y="593886"/>
          <a:ext cx="2538" cy="21026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0.89497</cdr:x>
      <cdr:y>0.92339</cdr:y>
    </cdr:from>
    <cdr:to>
      <cdr:x>0.97478</cdr:x>
      <cdr:y>0.98546</cdr:y>
    </cdr:to>
    <cdr:sp macro="" textlink="">
      <cdr:nvSpPr>
        <cdr:cNvPr id="5" name="CuadroTexto 1"/>
        <cdr:cNvSpPr txBox="1"/>
      </cdr:nvSpPr>
      <cdr:spPr>
        <a:xfrm xmlns:a="http://schemas.openxmlformats.org/drawingml/2006/main">
          <a:off x="6308228" y="2832076"/>
          <a:ext cx="562541" cy="1903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0.45004</cdr:x>
      <cdr:y>0.92504</cdr:y>
    </cdr:from>
    <cdr:to>
      <cdr:x>0.52985</cdr:x>
      <cdr:y>0.98712</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3172118" y="2837148"/>
          <a:ext cx="56254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0.90052</cdr:x>
      <cdr:y>0.90316</cdr:y>
    </cdr:from>
    <cdr:to>
      <cdr:x>0.98032</cdr:x>
      <cdr:y>0.96666</cdr:y>
    </cdr:to>
    <cdr:sp macro="" textlink="">
      <cdr:nvSpPr>
        <cdr:cNvPr id="4" name="CuadroTexto 1"/>
        <cdr:cNvSpPr txBox="1"/>
      </cdr:nvSpPr>
      <cdr:spPr>
        <a:xfrm xmlns:a="http://schemas.openxmlformats.org/drawingml/2006/main">
          <a:off x="6345168" y="2708108"/>
          <a:ext cx="56228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0.8919</cdr:x>
      <cdr:y>0.1646</cdr:y>
    </cdr:from>
    <cdr:to>
      <cdr:x>0.89474</cdr:x>
      <cdr:y>0.84772</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6284464" y="493538"/>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0.45198</cdr:x>
      <cdr:y>0.91366</cdr:y>
    </cdr:from>
    <cdr:to>
      <cdr:x>0.53179</cdr:x>
      <cdr:y>0.97716</cdr:y>
    </cdr:to>
    <cdr:sp macro="" textlink="">
      <cdr:nvSpPr>
        <cdr:cNvPr id="5" name="CuadroTexto 1"/>
        <cdr:cNvSpPr txBox="1"/>
      </cdr:nvSpPr>
      <cdr:spPr>
        <a:xfrm xmlns:a="http://schemas.openxmlformats.org/drawingml/2006/main">
          <a:off x="3184710" y="2739572"/>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6245225</xdr:colOff>
      <xdr:row>10</xdr:row>
      <xdr:rowOff>82550</xdr:rowOff>
    </xdr:from>
    <xdr:to>
      <xdr:col>4</xdr:col>
      <xdr:colOff>6254750</xdr:colOff>
      <xdr:row>22</xdr:row>
      <xdr:rowOff>25400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8112125" y="1749425"/>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0.89291</cdr:x>
      <cdr:y>0.92928</cdr:y>
    </cdr:from>
    <cdr:to>
      <cdr:x>0.98334</cdr:x>
      <cdr:y>0.99022</cdr:y>
    </cdr:to>
    <cdr:sp macro="" textlink="">
      <cdr:nvSpPr>
        <cdr:cNvPr id="3" name="CuadroTexto 1"/>
        <cdr:cNvSpPr txBox="1"/>
      </cdr:nvSpPr>
      <cdr:spPr>
        <a:xfrm xmlns:a="http://schemas.openxmlformats.org/drawingml/2006/main">
          <a:off x="6317563" y="2715612"/>
          <a:ext cx="639814"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0.44444</cdr:x>
      <cdr:y>0.93484</cdr:y>
    </cdr:from>
    <cdr:to>
      <cdr:x>0.52425</cdr:x>
      <cdr:y>1</cdr:y>
    </cdr:to>
    <cdr:sp macro="" textlink="">
      <cdr:nvSpPr>
        <cdr:cNvPr id="4" name="CuadroTexto 1"/>
        <cdr:cNvSpPr txBox="1"/>
      </cdr:nvSpPr>
      <cdr:spPr>
        <a:xfrm xmlns:a="http://schemas.openxmlformats.org/drawingml/2006/main">
          <a:off x="3144494" y="273185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11</xdr:col>
      <xdr:colOff>20209</xdr:colOff>
      <xdr:row>20</xdr:row>
      <xdr:rowOff>9721</xdr:rowOff>
    </xdr:from>
    <xdr:to>
      <xdr:col>11</xdr:col>
      <xdr:colOff>418259</xdr:colOff>
      <xdr:row>21</xdr:row>
      <xdr:rowOff>9193</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8602428" y="3314313"/>
          <a:ext cx="398050" cy="1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2025</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0.88845</cdr:x>
      <cdr:y>0.14793</cdr:y>
    </cdr:from>
    <cdr:to>
      <cdr:x>0.8903</cdr:x>
      <cdr:y>0.84974</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6763025" y="377857"/>
          <a:ext cx="14083" cy="1792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0.45771</cdr:x>
      <cdr:y>0.93855</cdr:y>
    </cdr:from>
    <cdr:to>
      <cdr:x>0.49647</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3484158" y="2397410"/>
          <a:ext cx="295046" cy="15696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0.88608</cdr:x>
      <cdr:y>0.05678</cdr:y>
    </cdr:from>
    <cdr:to>
      <cdr:x>0.88642</cdr:x>
      <cdr:y>0.75815</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6744982" y="143083"/>
          <a:ext cx="2588" cy="17673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0.88663</cdr:x>
      <cdr:y>0.12906</cdr:y>
    </cdr:from>
    <cdr:to>
      <cdr:x>0.88737</cdr:x>
      <cdr:y>0.82011</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6680819" y="298983"/>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0.89361</cdr:x>
      <cdr:y>0.89327</cdr:y>
    </cdr:from>
    <cdr:to>
      <cdr:x>0.96841</cdr:x>
      <cdr:y>0.97186</cdr:y>
    </cdr:to>
    <cdr:sp macro="" textlink="">
      <cdr:nvSpPr>
        <cdr:cNvPr id="4" name="CuadroTexto 1"/>
        <cdr:cNvSpPr txBox="1"/>
      </cdr:nvSpPr>
      <cdr:spPr>
        <a:xfrm xmlns:a="http://schemas.openxmlformats.org/drawingml/2006/main">
          <a:off x="6733474" y="2069394"/>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0.45094</cdr:x>
      <cdr:y>0.88427</cdr:y>
    </cdr:from>
    <cdr:to>
      <cdr:x>0.52574</cdr:x>
      <cdr:y>0.96286</cdr:y>
    </cdr:to>
    <cdr:sp macro="" textlink="">
      <cdr:nvSpPr>
        <cdr:cNvPr id="5" name="CuadroTexto 1"/>
        <cdr:cNvSpPr txBox="1"/>
      </cdr:nvSpPr>
      <cdr:spPr>
        <a:xfrm xmlns:a="http://schemas.openxmlformats.org/drawingml/2006/main">
          <a:off x="3397907" y="2048533"/>
          <a:ext cx="563626"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0.88808</cdr:x>
      <cdr:y>0.02835</cdr:y>
    </cdr:from>
    <cdr:to>
      <cdr:x>0.88835</cdr:x>
      <cdr:y>0.85661</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6692589" y="48383"/>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0.88798</cdr:x>
      <cdr:y>0.12444</cdr:y>
    </cdr:from>
    <cdr:to>
      <cdr:x>0.88816</cdr:x>
      <cdr:y>0.82387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6724821" y="297869"/>
          <a:ext cx="1363" cy="16742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0.89687</cdr:x>
      <cdr:y>0.88984</cdr:y>
    </cdr:from>
    <cdr:to>
      <cdr:x>0.97168</cdr:x>
      <cdr:y>0.96762</cdr:y>
    </cdr:to>
    <cdr:sp macro="" textlink="">
      <cdr:nvSpPr>
        <cdr:cNvPr id="4" name="CuadroTexto 1"/>
        <cdr:cNvSpPr txBox="1"/>
      </cdr:nvSpPr>
      <cdr:spPr>
        <a:xfrm xmlns:a="http://schemas.openxmlformats.org/drawingml/2006/main">
          <a:off x="6792169" y="2129975"/>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0.44327</cdr:x>
      <cdr:y>0.89007</cdr:y>
    </cdr:from>
    <cdr:to>
      <cdr:x>0.51806</cdr:x>
      <cdr:y>0.96785</cdr:y>
    </cdr:to>
    <cdr:sp macro="" textlink="">
      <cdr:nvSpPr>
        <cdr:cNvPr id="5" name="CuadroTexto 1"/>
        <cdr:cNvSpPr txBox="1"/>
      </cdr:nvSpPr>
      <cdr:spPr>
        <a:xfrm xmlns:a="http://schemas.openxmlformats.org/drawingml/2006/main">
          <a:off x="3356981" y="2130536"/>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0.88768</cdr:x>
      <cdr:y>0.02927</cdr:y>
    </cdr:from>
    <cdr:to>
      <cdr:x>0.88768</cdr:x>
      <cdr:y>0.87862</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6723404" y="51751"/>
          <a:ext cx="0" cy="15019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0.8952</cdr:x>
      <cdr:y>0.0874</cdr:y>
    </cdr:from>
    <cdr:to>
      <cdr:x>0.89578</cdr:x>
      <cdr:y>0.80293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6722256" y="223788"/>
          <a:ext cx="4356"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0.88988</cdr:x>
      <cdr:y>0.17913</cdr:y>
    </cdr:from>
    <cdr:to>
      <cdr:x>0.89056</cdr:x>
      <cdr:y>0.86229</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6682264" y="476398"/>
          <a:ext cx="5106" cy="18168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0.90561</cdr:x>
      <cdr:y>0.92955</cdr:y>
    </cdr:from>
    <cdr:to>
      <cdr:x>0.98041</cdr:x>
      <cdr:y>1</cdr:y>
    </cdr:to>
    <cdr:sp macro="" textlink="">
      <cdr:nvSpPr>
        <cdr:cNvPr id="4" name="CuadroTexto 1"/>
        <cdr:cNvSpPr txBox="1"/>
      </cdr:nvSpPr>
      <cdr:spPr>
        <a:xfrm xmlns:a="http://schemas.openxmlformats.org/drawingml/2006/main">
          <a:off x="6800400" y="2472126"/>
          <a:ext cx="561688"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0.44891</cdr:x>
      <cdr:y>0.92955</cdr:y>
    </cdr:from>
    <cdr:to>
      <cdr:x>0.52369</cdr:x>
      <cdr:y>1</cdr:y>
    </cdr:to>
    <cdr:sp macro="" textlink="">
      <cdr:nvSpPr>
        <cdr:cNvPr id="5" name="CuadroTexto 1"/>
        <cdr:cNvSpPr txBox="1"/>
      </cdr:nvSpPr>
      <cdr:spPr>
        <a:xfrm xmlns:a="http://schemas.openxmlformats.org/drawingml/2006/main">
          <a:off x="3370952" y="2472126"/>
          <a:ext cx="56153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0.89104</cdr:x>
      <cdr:y>0.08526</cdr:y>
    </cdr:from>
    <cdr:to>
      <cdr:x>0.89113</cdr:x>
      <cdr:y>0.70859</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6783582" y="271915"/>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0.88767</cdr:x>
      <cdr:y>0.10455</cdr:y>
    </cdr:from>
    <cdr:to>
      <cdr:x>0.88857</cdr:x>
      <cdr:y>0.86217</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6757944" y="261590"/>
          <a:ext cx="6852" cy="18956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0.9002</cdr:x>
      <cdr:y>0.92954</cdr:y>
    </cdr:from>
    <cdr:to>
      <cdr:x>0.975</cdr:x>
      <cdr:y>1</cdr:y>
    </cdr:to>
    <cdr:sp macro="" textlink="">
      <cdr:nvSpPr>
        <cdr:cNvPr id="4" name="CuadroTexto 1"/>
        <cdr:cNvSpPr txBox="1"/>
      </cdr:nvSpPr>
      <cdr:spPr>
        <a:xfrm xmlns:a="http://schemas.openxmlformats.org/drawingml/2006/main">
          <a:off x="6853339" y="2325788"/>
          <a:ext cx="569460"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0.44464</cdr:x>
      <cdr:y>0.92955</cdr:y>
    </cdr:from>
    <cdr:to>
      <cdr:x>0.51943</cdr:x>
      <cdr:y>1</cdr:y>
    </cdr:to>
    <cdr:sp macro="" textlink="">
      <cdr:nvSpPr>
        <cdr:cNvPr id="5" name="CuadroTexto 1"/>
        <cdr:cNvSpPr txBox="1"/>
      </cdr:nvSpPr>
      <cdr:spPr>
        <a:xfrm xmlns:a="http://schemas.openxmlformats.org/drawingml/2006/main">
          <a:off x="3385066" y="2325813"/>
          <a:ext cx="569384"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0.88712</cdr:x>
      <cdr:y>0.10027</cdr:y>
    </cdr:from>
    <cdr:to>
      <cdr:x>0.88911</cdr:x>
      <cdr:y>0.86611</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662138" y="263434"/>
          <a:ext cx="14944"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0.90938</cdr:x>
      <cdr:y>0.92954</cdr:y>
    </cdr:from>
    <cdr:to>
      <cdr:x>0.9851</cdr:x>
      <cdr:y>1</cdr:y>
    </cdr:to>
    <cdr:sp macro="" textlink="">
      <cdr:nvSpPr>
        <cdr:cNvPr id="4" name="CuadroTexto 1"/>
        <cdr:cNvSpPr txBox="1"/>
      </cdr:nvSpPr>
      <cdr:spPr>
        <a:xfrm xmlns:a="http://schemas.openxmlformats.org/drawingml/2006/main">
          <a:off x="6829272" y="2442102"/>
          <a:ext cx="568643"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0.43687</cdr:x>
      <cdr:y>0.92955</cdr:y>
    </cdr:from>
    <cdr:to>
      <cdr:x>0.51258</cdr:x>
      <cdr:y>1</cdr:y>
    </cdr:to>
    <cdr:sp macro="" textlink="">
      <cdr:nvSpPr>
        <cdr:cNvPr id="5" name="CuadroTexto 1"/>
        <cdr:cNvSpPr txBox="1"/>
      </cdr:nvSpPr>
      <cdr:spPr>
        <a:xfrm xmlns:a="http://schemas.openxmlformats.org/drawingml/2006/main">
          <a:off x="3280795" y="2442128"/>
          <a:ext cx="568568" cy="185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0.88918</cdr:x>
      <cdr:y>0.03549</cdr:y>
    </cdr:from>
    <cdr:to>
      <cdr:x>0.88957</cdr:x>
      <cdr:y>0.80326</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677595" y="91562"/>
          <a:ext cx="2929" cy="1980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0.88316</cdr:x>
      <cdr:y>0.08891</cdr:y>
    </cdr:from>
    <cdr:to>
      <cdr:x>0.88344</cdr:x>
      <cdr:y>0.76212</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581863" y="265031"/>
          <a:ext cx="2086"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0.88923</cdr:x>
      <cdr:y>0.92954</cdr:y>
    </cdr:from>
    <cdr:to>
      <cdr:x>0.96495</cdr:x>
      <cdr:y>1</cdr:y>
    </cdr:to>
    <cdr:sp macro="" textlink="">
      <cdr:nvSpPr>
        <cdr:cNvPr id="4" name="CuadroTexto 1"/>
        <cdr:cNvSpPr txBox="1"/>
      </cdr:nvSpPr>
      <cdr:spPr>
        <a:xfrm xmlns:a="http://schemas.openxmlformats.org/drawingml/2006/main">
          <a:off x="6632750" y="2400785"/>
          <a:ext cx="564797" cy="1819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0.4395</cdr:x>
      <cdr:y>0.92955</cdr:y>
    </cdr:from>
    <cdr:to>
      <cdr:x>0.51521</cdr:x>
      <cdr:y>1</cdr:y>
    </cdr:to>
    <cdr:sp macro="" textlink="">
      <cdr:nvSpPr>
        <cdr:cNvPr id="5" name="CuadroTexto 1"/>
        <cdr:cNvSpPr txBox="1"/>
      </cdr:nvSpPr>
      <cdr:spPr>
        <a:xfrm xmlns:a="http://schemas.openxmlformats.org/drawingml/2006/main">
          <a:off x="3278246"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0.88586</cdr:x>
      <cdr:y>0.18408</cdr:y>
    </cdr:from>
    <cdr:to>
      <cdr:x>0.88614</cdr:x>
      <cdr:y>0.85729</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607636" y="475425"/>
          <a:ext cx="2088"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delectrica-my.sharepoint.com/personal/smadejon_redeia_com/Documents/Datos%20Z/trabajo/precios/Enero/MARGINAL_OMIE.xlsm" TargetMode="External"/><Relationship Id="rId1" Type="http://schemas.openxmlformats.org/officeDocument/2006/relationships/externalLinkPath" Target="https://redelectrica-my.sharepoint.com/personal/smadejon_redeia_com/Documents/Datos%20Z/trabajo/precios/Enero/MARGINAL_OMI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zart Reports"/>
      <sheetName val="OMIE"/>
      <sheetName val="porcentaje horas"/>
      <sheetName val="banda precios "/>
    </sheetNames>
    <sheetDataSet>
      <sheetData sheetId="0"/>
      <sheetData sheetId="1">
        <row r="5">
          <cell r="A5" t="str">
            <v>01/01/25</v>
          </cell>
          <cell r="B5" t="str">
            <v>HI</v>
          </cell>
          <cell r="C5" t="str">
            <v>TCC</v>
          </cell>
          <cell r="D5" t="str">
            <v>HI</v>
          </cell>
          <cell r="E5" t="str">
            <v>HI</v>
          </cell>
          <cell r="F5" t="str">
            <v>HI</v>
          </cell>
          <cell r="G5" t="str">
            <v>HI</v>
          </cell>
          <cell r="H5" t="str">
            <v>HI</v>
          </cell>
          <cell r="I5" t="str">
            <v>HI</v>
          </cell>
          <cell r="J5" t="str">
            <v>HI</v>
          </cell>
          <cell r="K5" t="str">
            <v>RE</v>
          </cell>
          <cell r="L5" t="str">
            <v>RE</v>
          </cell>
          <cell r="M5" t="str">
            <v>RE</v>
          </cell>
          <cell r="N5" t="str">
            <v>HI</v>
          </cell>
          <cell r="O5" t="str">
            <v>RE</v>
          </cell>
          <cell r="P5" t="str">
            <v>HI
RE</v>
          </cell>
          <cell r="Q5" t="str">
            <v>RE</v>
          </cell>
          <cell r="R5" t="str">
            <v>RE</v>
          </cell>
          <cell r="S5" t="str">
            <v>HI</v>
          </cell>
          <cell r="T5" t="str">
            <v>TCC</v>
          </cell>
          <cell r="U5" t="str">
            <v>TCC</v>
          </cell>
          <cell r="V5" t="str">
            <v>HI</v>
          </cell>
          <cell r="W5" t="str">
            <v>HI</v>
          </cell>
          <cell r="X5" t="str">
            <v>HI</v>
          </cell>
          <cell r="Y5" t="str">
            <v>TCC</v>
          </cell>
        </row>
        <row r="6">
          <cell r="A6" t="str">
            <v>02/01/25</v>
          </cell>
          <cell r="B6" t="str">
            <v>HI</v>
          </cell>
          <cell r="C6" t="str">
            <v>HI</v>
          </cell>
          <cell r="D6" t="str">
            <v>RE</v>
          </cell>
          <cell r="E6" t="str">
            <v>RE</v>
          </cell>
          <cell r="F6" t="str">
            <v>RE</v>
          </cell>
          <cell r="G6" t="str">
            <v>RE</v>
          </cell>
          <cell r="H6" t="str">
            <v>HI</v>
          </cell>
          <cell r="I6" t="str">
            <v>HI</v>
          </cell>
          <cell r="J6" t="str">
            <v>BG</v>
          </cell>
          <cell r="K6" t="str">
            <v>TCC</v>
          </cell>
          <cell r="L6" t="str">
            <v>RE</v>
          </cell>
          <cell r="M6" t="str">
            <v>BG</v>
          </cell>
          <cell r="N6" t="str">
            <v>BG</v>
          </cell>
          <cell r="O6" t="str">
            <v>HI</v>
          </cell>
          <cell r="P6" t="str">
            <v>BG</v>
          </cell>
          <cell r="Q6" t="str">
            <v>HI</v>
          </cell>
          <cell r="R6" t="str">
            <v>HI</v>
          </cell>
          <cell r="S6" t="str">
            <v>BG
TCC</v>
          </cell>
          <cell r="T6" t="str">
            <v>HI</v>
          </cell>
          <cell r="U6" t="str">
            <v>HI</v>
          </cell>
          <cell r="V6" t="str">
            <v>HI</v>
          </cell>
          <cell r="W6" t="str">
            <v>HI</v>
          </cell>
          <cell r="X6" t="str">
            <v>BG
HI</v>
          </cell>
          <cell r="Y6" t="str">
            <v>BG</v>
          </cell>
        </row>
        <row r="7">
          <cell r="A7" t="str">
            <v>03/01/25</v>
          </cell>
          <cell r="B7" t="str">
            <v>HI</v>
          </cell>
          <cell r="C7" t="str">
            <v>BG</v>
          </cell>
          <cell r="D7" t="str">
            <v>RE</v>
          </cell>
          <cell r="E7" t="str">
            <v>RE</v>
          </cell>
          <cell r="F7" t="str">
            <v>RE</v>
          </cell>
          <cell r="G7" t="str">
            <v>RE</v>
          </cell>
          <cell r="H7" t="str">
            <v>RE</v>
          </cell>
          <cell r="I7" t="str">
            <v>HI
RE</v>
          </cell>
          <cell r="J7" t="str">
            <v>HI</v>
          </cell>
          <cell r="K7" t="str">
            <v>HI
RE</v>
          </cell>
          <cell r="L7" t="str">
            <v>HI</v>
          </cell>
          <cell r="M7" t="str">
            <v>BG</v>
          </cell>
          <cell r="N7" t="str">
            <v>HI</v>
          </cell>
          <cell r="O7" t="str">
            <v>HI</v>
          </cell>
          <cell r="P7" t="str">
            <v>RE</v>
          </cell>
          <cell r="Q7" t="str">
            <v>RE</v>
          </cell>
          <cell r="R7" t="str">
            <v>RE</v>
          </cell>
          <cell r="S7" t="str">
            <v>HI</v>
          </cell>
          <cell r="T7" t="str">
            <v>TCC</v>
          </cell>
          <cell r="U7" t="str">
            <v>TCC</v>
          </cell>
          <cell r="V7" t="str">
            <v>TCC</v>
          </cell>
          <cell r="W7" t="str">
            <v>TCC</v>
          </cell>
          <cell r="X7" t="str">
            <v>HI</v>
          </cell>
          <cell r="Y7" t="str">
            <v>TCC</v>
          </cell>
        </row>
        <row r="8">
          <cell r="A8" t="str">
            <v>04/01/25</v>
          </cell>
          <cell r="B8" t="str">
            <v>RE</v>
          </cell>
          <cell r="C8" t="str">
            <v>RE</v>
          </cell>
          <cell r="D8" t="str">
            <v>RE</v>
          </cell>
          <cell r="E8" t="str">
            <v>RE</v>
          </cell>
          <cell r="F8" t="str">
            <v>RE</v>
          </cell>
          <cell r="G8" t="str">
            <v>RE</v>
          </cell>
          <cell r="H8" t="str">
            <v>RE</v>
          </cell>
          <cell r="I8" t="str">
            <v>HI</v>
          </cell>
          <cell r="J8" t="str">
            <v>HI</v>
          </cell>
          <cell r="K8" t="str">
            <v>HI</v>
          </cell>
          <cell r="L8" t="str">
            <v>BG</v>
          </cell>
          <cell r="M8" t="str">
            <v>RE</v>
          </cell>
          <cell r="N8" t="str">
            <v>RE</v>
          </cell>
          <cell r="O8" t="str">
            <v>RE</v>
          </cell>
          <cell r="P8" t="str">
            <v>RE</v>
          </cell>
          <cell r="Q8" t="str">
            <v>RE</v>
          </cell>
          <cell r="R8" t="str">
            <v>BG</v>
          </cell>
          <cell r="S8" t="str">
            <v>HI</v>
          </cell>
          <cell r="T8" t="str">
            <v>HI</v>
          </cell>
          <cell r="U8" t="str">
            <v>HI</v>
          </cell>
          <cell r="V8" t="str">
            <v>HI</v>
          </cell>
          <cell r="W8" t="str">
            <v>RE</v>
          </cell>
          <cell r="X8" t="str">
            <v>BG</v>
          </cell>
          <cell r="Y8" t="str">
            <v>HI</v>
          </cell>
        </row>
        <row r="9">
          <cell r="A9" t="str">
            <v>05/01/25</v>
          </cell>
          <cell r="B9" t="str">
            <v>HI</v>
          </cell>
          <cell r="C9" t="str">
            <v>RE</v>
          </cell>
          <cell r="D9" t="str">
            <v>RE</v>
          </cell>
          <cell r="E9" t="str">
            <v>RE</v>
          </cell>
          <cell r="F9" t="str">
            <v>RE</v>
          </cell>
          <cell r="G9" t="str">
            <v>RE</v>
          </cell>
          <cell r="H9" t="str">
            <v>RE</v>
          </cell>
          <cell r="I9" t="str">
            <v>RE</v>
          </cell>
          <cell r="J9" t="str">
            <v>HI</v>
          </cell>
          <cell r="K9" t="str">
            <v>HI</v>
          </cell>
          <cell r="L9" t="str">
            <v>RE</v>
          </cell>
          <cell r="M9" t="str">
            <v>RE</v>
          </cell>
          <cell r="N9" t="str">
            <v>RE</v>
          </cell>
          <cell r="O9" t="str">
            <v>RE</v>
          </cell>
          <cell r="P9" t="str">
            <v>RE</v>
          </cell>
          <cell r="Q9" t="str">
            <v>RE</v>
          </cell>
          <cell r="R9" t="str">
            <v>RE</v>
          </cell>
          <cell r="S9" t="str">
            <v>RE</v>
          </cell>
          <cell r="T9" t="str">
            <v>RE</v>
          </cell>
          <cell r="U9" t="str">
            <v>HI</v>
          </cell>
          <cell r="V9" t="str">
            <v>HI</v>
          </cell>
          <cell r="W9" t="str">
            <v>RE</v>
          </cell>
          <cell r="X9" t="str">
            <v>HI</v>
          </cell>
          <cell r="Y9" t="str">
            <v>RE</v>
          </cell>
        </row>
        <row r="10">
          <cell r="A10" t="str">
            <v>06/01/25</v>
          </cell>
          <cell r="B10" t="str">
            <v>RE</v>
          </cell>
          <cell r="C10" t="str">
            <v>RE</v>
          </cell>
          <cell r="D10" t="str">
            <v>BG
RE</v>
          </cell>
          <cell r="E10" t="str">
            <v>RE</v>
          </cell>
          <cell r="F10" t="str">
            <v>RE</v>
          </cell>
          <cell r="G10" t="str">
            <v>BG
RE</v>
          </cell>
          <cell r="H10" t="str">
            <v>RE</v>
          </cell>
          <cell r="I10" t="str">
            <v>RE</v>
          </cell>
          <cell r="J10" t="str">
            <v>HI</v>
          </cell>
          <cell r="K10" t="str">
            <v>RE</v>
          </cell>
          <cell r="L10" t="str">
            <v>RE</v>
          </cell>
          <cell r="M10" t="str">
            <v>RE</v>
          </cell>
          <cell r="N10" t="str">
            <v>HI</v>
          </cell>
          <cell r="O10" t="str">
            <v>RE</v>
          </cell>
          <cell r="P10" t="str">
            <v>RE</v>
          </cell>
          <cell r="Q10" t="str">
            <v>RE</v>
          </cell>
          <cell r="R10" t="str">
            <v>RE</v>
          </cell>
          <cell r="S10" t="str">
            <v>RE</v>
          </cell>
          <cell r="T10" t="str">
            <v>BG</v>
          </cell>
          <cell r="U10" t="str">
            <v>HI</v>
          </cell>
          <cell r="V10" t="str">
            <v>HI</v>
          </cell>
          <cell r="W10" t="str">
            <v>HI</v>
          </cell>
          <cell r="X10" t="str">
            <v>HI</v>
          </cell>
          <cell r="Y10" t="str">
            <v>RE</v>
          </cell>
        </row>
        <row r="11">
          <cell r="A11" t="str">
            <v>07/01/25</v>
          </cell>
          <cell r="B11" t="str">
            <v>HI</v>
          </cell>
          <cell r="C11" t="str">
            <v>HI</v>
          </cell>
          <cell r="D11" t="str">
            <v>HI</v>
          </cell>
          <cell r="E11" t="str">
            <v>HI</v>
          </cell>
          <cell r="F11" t="str">
            <v>RE</v>
          </cell>
          <cell r="G11" t="str">
            <v>RE</v>
          </cell>
          <cell r="H11" t="str">
            <v>HI</v>
          </cell>
          <cell r="I11" t="str">
            <v>HI</v>
          </cell>
          <cell r="J11" t="str">
            <v>RE</v>
          </cell>
          <cell r="K11" t="str">
            <v>HI</v>
          </cell>
          <cell r="L11" t="str">
            <v>RE</v>
          </cell>
          <cell r="M11" t="str">
            <v>RE</v>
          </cell>
          <cell r="N11" t="str">
            <v>RE</v>
          </cell>
          <cell r="O11" t="str">
            <v>RE</v>
          </cell>
          <cell r="P11" t="str">
            <v>RE</v>
          </cell>
          <cell r="Q11" t="str">
            <v>HI</v>
          </cell>
          <cell r="R11" t="str">
            <v>HI</v>
          </cell>
          <cell r="S11" t="str">
            <v>BG</v>
          </cell>
          <cell r="T11" t="str">
            <v>HI</v>
          </cell>
          <cell r="U11" t="str">
            <v>HI</v>
          </cell>
          <cell r="V11" t="str">
            <v>HI</v>
          </cell>
          <cell r="W11" t="str">
            <v>BG</v>
          </cell>
          <cell r="X11" t="str">
            <v>RE</v>
          </cell>
          <cell r="Y11" t="str">
            <v>RE</v>
          </cell>
        </row>
        <row r="12">
          <cell r="A12" t="str">
            <v>08/01/25</v>
          </cell>
          <cell r="B12" t="str">
            <v>RE</v>
          </cell>
          <cell r="C12" t="str">
            <v>RE</v>
          </cell>
          <cell r="D12" t="str">
            <v>HI</v>
          </cell>
          <cell r="E12" t="str">
            <v>HI</v>
          </cell>
          <cell r="F12" t="str">
            <v>RE</v>
          </cell>
          <cell r="G12" t="str">
            <v>II</v>
          </cell>
          <cell r="H12" t="str">
            <v>HI</v>
          </cell>
          <cell r="I12" t="str">
            <v>HI</v>
          </cell>
          <cell r="J12" t="str">
            <v>HI</v>
          </cell>
          <cell r="K12" t="str">
            <v>HI</v>
          </cell>
          <cell r="L12" t="str">
            <v>HI</v>
          </cell>
          <cell r="M12" t="str">
            <v>HI</v>
          </cell>
          <cell r="N12" t="str">
            <v>RE</v>
          </cell>
          <cell r="O12" t="str">
            <v>HI</v>
          </cell>
          <cell r="P12" t="str">
            <v>HI</v>
          </cell>
          <cell r="Q12" t="str">
            <v>RE</v>
          </cell>
          <cell r="R12" t="str">
            <v>HI</v>
          </cell>
          <cell r="S12" t="str">
            <v>HI</v>
          </cell>
          <cell r="T12" t="str">
            <v>HI</v>
          </cell>
          <cell r="U12" t="str">
            <v>HI</v>
          </cell>
          <cell r="V12" t="str">
            <v>BG</v>
          </cell>
          <cell r="W12" t="str">
            <v>HI</v>
          </cell>
          <cell r="X12" t="str">
            <v>BG</v>
          </cell>
          <cell r="Y12" t="str">
            <v>HI</v>
          </cell>
        </row>
        <row r="13">
          <cell r="A13" t="str">
            <v>09/01/25</v>
          </cell>
          <cell r="B13" t="str">
            <v>HI</v>
          </cell>
          <cell r="C13" t="str">
            <v>HI</v>
          </cell>
          <cell r="D13" t="str">
            <v>RE</v>
          </cell>
          <cell r="E13" t="str">
            <v>RE</v>
          </cell>
          <cell r="F13" t="str">
            <v>RE</v>
          </cell>
          <cell r="G13" t="str">
            <v>RE</v>
          </cell>
          <cell r="H13" t="str">
            <v>HI</v>
          </cell>
          <cell r="I13" t="str">
            <v>HI</v>
          </cell>
          <cell r="J13" t="str">
            <v>HI</v>
          </cell>
          <cell r="K13" t="str">
            <v>HI</v>
          </cell>
          <cell r="L13" t="str">
            <v>RE</v>
          </cell>
          <cell r="M13" t="str">
            <v>HI</v>
          </cell>
          <cell r="N13" t="str">
            <v>RE</v>
          </cell>
          <cell r="O13" t="str">
            <v>HI</v>
          </cell>
          <cell r="P13" t="str">
            <v>HI</v>
          </cell>
          <cell r="Q13" t="str">
            <v>HI</v>
          </cell>
          <cell r="R13" t="str">
            <v>RE</v>
          </cell>
          <cell r="S13" t="str">
            <v>HI</v>
          </cell>
          <cell r="T13" t="str">
            <v>HI</v>
          </cell>
          <cell r="U13" t="str">
            <v>HI</v>
          </cell>
          <cell r="V13" t="str">
            <v>HI</v>
          </cell>
          <cell r="W13" t="str">
            <v>HI</v>
          </cell>
          <cell r="X13" t="str">
            <v>HI</v>
          </cell>
          <cell r="Y13" t="str">
            <v>HI
RE</v>
          </cell>
        </row>
        <row r="14">
          <cell r="A14" t="str">
            <v>10/01/25</v>
          </cell>
          <cell r="B14" t="str">
            <v>RE</v>
          </cell>
          <cell r="C14" t="str">
            <v>RE</v>
          </cell>
          <cell r="D14" t="str">
            <v>HI
RE</v>
          </cell>
          <cell r="E14" t="str">
            <v>RE</v>
          </cell>
          <cell r="F14" t="str">
            <v>HI
RE</v>
          </cell>
          <cell r="G14" t="str">
            <v>BG</v>
          </cell>
          <cell r="H14" t="str">
            <v>RE</v>
          </cell>
          <cell r="I14" t="str">
            <v>HI</v>
          </cell>
          <cell r="J14" t="str">
            <v>HI</v>
          </cell>
          <cell r="K14" t="str">
            <v>BG</v>
          </cell>
          <cell r="L14" t="str">
            <v>HI</v>
          </cell>
          <cell r="M14" t="str">
            <v>HI</v>
          </cell>
          <cell r="N14" t="str">
            <v>HI</v>
          </cell>
          <cell r="O14" t="str">
            <v>HI</v>
          </cell>
          <cell r="P14" t="str">
            <v>HI</v>
          </cell>
          <cell r="Q14" t="str">
            <v>HI</v>
          </cell>
          <cell r="R14" t="str">
            <v>BG</v>
          </cell>
          <cell r="S14" t="str">
            <v>HI</v>
          </cell>
          <cell r="T14" t="str">
            <v>HI</v>
          </cell>
          <cell r="U14" t="str">
            <v>HI</v>
          </cell>
          <cell r="V14" t="str">
            <v>HI</v>
          </cell>
          <cell r="W14" t="str">
            <v>HI</v>
          </cell>
          <cell r="X14" t="str">
            <v>HI</v>
          </cell>
          <cell r="Y14" t="str">
            <v>HI</v>
          </cell>
        </row>
        <row r="15">
          <cell r="A15" t="str">
            <v>11/01/25</v>
          </cell>
          <cell r="B15" t="str">
            <v>HI</v>
          </cell>
          <cell r="C15" t="str">
            <v>RE</v>
          </cell>
          <cell r="D15" t="str">
            <v>RE</v>
          </cell>
          <cell r="E15" t="str">
            <v>HI</v>
          </cell>
          <cell r="F15" t="str">
            <v>HI</v>
          </cell>
          <cell r="G15" t="str">
            <v>HI</v>
          </cell>
          <cell r="H15" t="str">
            <v>RE</v>
          </cell>
          <cell r="I15" t="str">
            <v>BG</v>
          </cell>
          <cell r="J15" t="str">
            <v>HI</v>
          </cell>
          <cell r="K15" t="str">
            <v>HI</v>
          </cell>
          <cell r="L15" t="str">
            <v>HI</v>
          </cell>
          <cell r="M15" t="str">
            <v>BG</v>
          </cell>
          <cell r="N15" t="str">
            <v>HI</v>
          </cell>
          <cell r="O15" t="str">
            <v>RE</v>
          </cell>
          <cell r="P15" t="str">
            <v>RE</v>
          </cell>
          <cell r="Q15" t="str">
            <v>HI</v>
          </cell>
          <cell r="R15" t="str">
            <v>HI</v>
          </cell>
          <cell r="S15" t="str">
            <v>HI</v>
          </cell>
          <cell r="T15" t="str">
            <v>HI</v>
          </cell>
          <cell r="U15" t="str">
            <v>HI</v>
          </cell>
          <cell r="V15" t="str">
            <v>HI</v>
          </cell>
          <cell r="W15" t="str">
            <v>HI</v>
          </cell>
          <cell r="X15" t="str">
            <v>HI</v>
          </cell>
          <cell r="Y15" t="str">
            <v>HI</v>
          </cell>
        </row>
        <row r="16">
          <cell r="A16" t="str">
            <v>12/01/25</v>
          </cell>
          <cell r="B16" t="str">
            <v>HI</v>
          </cell>
          <cell r="C16" t="str">
            <v>RE</v>
          </cell>
          <cell r="D16" t="str">
            <v>RE</v>
          </cell>
          <cell r="E16" t="str">
            <v>RE</v>
          </cell>
          <cell r="F16" t="str">
            <v>RE</v>
          </cell>
          <cell r="G16" t="str">
            <v>RE</v>
          </cell>
          <cell r="H16" t="str">
            <v>RE</v>
          </cell>
          <cell r="I16" t="str">
            <v>RE</v>
          </cell>
          <cell r="J16" t="str">
            <v>RE</v>
          </cell>
          <cell r="K16" t="str">
            <v>HI</v>
          </cell>
          <cell r="L16" t="str">
            <v>RE</v>
          </cell>
          <cell r="M16" t="str">
            <v>RE</v>
          </cell>
          <cell r="N16" t="str">
            <v>RE</v>
          </cell>
          <cell r="O16" t="str">
            <v>RE</v>
          </cell>
          <cell r="P16" t="str">
            <v>RE</v>
          </cell>
          <cell r="Q16" t="str">
            <v>RE</v>
          </cell>
          <cell r="R16" t="str">
            <v>RE</v>
          </cell>
          <cell r="S16" t="str">
            <v>RE</v>
          </cell>
          <cell r="T16" t="str">
            <v>BG</v>
          </cell>
          <cell r="U16" t="str">
            <v>HI</v>
          </cell>
          <cell r="V16" t="str">
            <v>HI</v>
          </cell>
          <cell r="W16" t="str">
            <v>HI</v>
          </cell>
          <cell r="X16" t="str">
            <v>BG</v>
          </cell>
          <cell r="Y16" t="str">
            <v>HI</v>
          </cell>
        </row>
        <row r="17">
          <cell r="A17" t="str">
            <v>13/01/25</v>
          </cell>
          <cell r="B17" t="str">
            <v>BG</v>
          </cell>
          <cell r="C17" t="str">
            <v>RE</v>
          </cell>
          <cell r="D17" t="str">
            <v>HI</v>
          </cell>
          <cell r="E17" t="str">
            <v>RE</v>
          </cell>
          <cell r="F17" t="str">
            <v>RE</v>
          </cell>
          <cell r="G17" t="str">
            <v>RE</v>
          </cell>
          <cell r="H17" t="str">
            <v>HI</v>
          </cell>
          <cell r="I17" t="str">
            <v>HI</v>
          </cell>
          <cell r="J17" t="str">
            <v>BG</v>
          </cell>
          <cell r="K17" t="str">
            <v>HI</v>
          </cell>
          <cell r="L17" t="str">
            <v>HI</v>
          </cell>
          <cell r="M17" t="str">
            <v>HI</v>
          </cell>
          <cell r="N17" t="str">
            <v>HI</v>
          </cell>
          <cell r="O17" t="str">
            <v>RE</v>
          </cell>
          <cell r="P17" t="str">
            <v>HI</v>
          </cell>
          <cell r="Q17" t="str">
            <v>HI</v>
          </cell>
          <cell r="R17" t="str">
            <v>HI</v>
          </cell>
          <cell r="S17" t="str">
            <v>TCC</v>
          </cell>
          <cell r="T17" t="str">
            <v>RE</v>
          </cell>
          <cell r="U17" t="str">
            <v>HI</v>
          </cell>
          <cell r="V17" t="str">
            <v>TCC</v>
          </cell>
          <cell r="W17" t="str">
            <v>HI</v>
          </cell>
          <cell r="X17" t="str">
            <v>HI</v>
          </cell>
          <cell r="Y17" t="str">
            <v>RE</v>
          </cell>
        </row>
        <row r="18">
          <cell r="A18" t="str">
            <v>14/01/25</v>
          </cell>
          <cell r="B18" t="str">
            <v>TCC</v>
          </cell>
          <cell r="C18" t="str">
            <v>TCC</v>
          </cell>
          <cell r="D18" t="str">
            <v>TCC</v>
          </cell>
          <cell r="E18" t="str">
            <v>HI</v>
          </cell>
          <cell r="F18" t="str">
            <v>RE</v>
          </cell>
          <cell r="G18" t="str">
            <v>HI</v>
          </cell>
          <cell r="H18" t="str">
            <v>HI</v>
          </cell>
          <cell r="I18" t="str">
            <v>HI</v>
          </cell>
          <cell r="J18" t="str">
            <v>RE</v>
          </cell>
          <cell r="K18" t="str">
            <v>HI</v>
          </cell>
          <cell r="L18" t="str">
            <v>TCC</v>
          </cell>
          <cell r="M18" t="str">
            <v>TCC</v>
          </cell>
          <cell r="N18" t="str">
            <v>TCC</v>
          </cell>
          <cell r="O18" t="str">
            <v>RE</v>
          </cell>
          <cell r="P18" t="str">
            <v>TCC</v>
          </cell>
          <cell r="Q18" t="str">
            <v>TCC</v>
          </cell>
          <cell r="R18" t="str">
            <v>HI</v>
          </cell>
          <cell r="S18" t="str">
            <v>RE</v>
          </cell>
          <cell r="T18" t="str">
            <v>HI</v>
          </cell>
          <cell r="U18" t="str">
            <v>RE</v>
          </cell>
          <cell r="V18" t="str">
            <v>HI</v>
          </cell>
          <cell r="W18" t="str">
            <v>RE</v>
          </cell>
          <cell r="X18" t="str">
            <v>HI</v>
          </cell>
          <cell r="Y18" t="str">
            <v>HI</v>
          </cell>
        </row>
        <row r="19">
          <cell r="A19" t="str">
            <v>15/01/25</v>
          </cell>
          <cell r="B19" t="str">
            <v>TCC</v>
          </cell>
          <cell r="C19" t="str">
            <v>BG</v>
          </cell>
          <cell r="D19" t="str">
            <v>RE</v>
          </cell>
          <cell r="E19" t="str">
            <v>TCC</v>
          </cell>
          <cell r="F19" t="str">
            <v>TCC</v>
          </cell>
          <cell r="G19" t="str">
            <v>TCC</v>
          </cell>
          <cell r="H19" t="str">
            <v>HI</v>
          </cell>
          <cell r="I19" t="str">
            <v>HI</v>
          </cell>
          <cell r="J19" t="str">
            <v>HI</v>
          </cell>
          <cell r="K19" t="str">
            <v>BG
HI
RE</v>
          </cell>
          <cell r="L19" t="str">
            <v>RE</v>
          </cell>
          <cell r="M19" t="str">
            <v>RE</v>
          </cell>
          <cell r="N19" t="str">
            <v>RE</v>
          </cell>
          <cell r="O19" t="str">
            <v>BG</v>
          </cell>
          <cell r="P19" t="str">
            <v>TCC</v>
          </cell>
          <cell r="Q19" t="str">
            <v>TCC</v>
          </cell>
          <cell r="R19" t="str">
            <v>HI</v>
          </cell>
          <cell r="S19" t="str">
            <v>HI</v>
          </cell>
          <cell r="T19" t="str">
            <v>HI</v>
          </cell>
          <cell r="U19" t="str">
            <v>HI</v>
          </cell>
          <cell r="V19" t="str">
            <v>HI</v>
          </cell>
          <cell r="W19" t="str">
            <v>TCC</v>
          </cell>
          <cell r="X19" t="str">
            <v>HI</v>
          </cell>
          <cell r="Y19" t="str">
            <v>HI</v>
          </cell>
        </row>
        <row r="20">
          <cell r="A20" t="str">
            <v>16/01/25</v>
          </cell>
          <cell r="B20" t="str">
            <v>HI</v>
          </cell>
          <cell r="C20" t="str">
            <v>HI</v>
          </cell>
          <cell r="D20" t="str">
            <v>RE</v>
          </cell>
          <cell r="E20" t="str">
            <v>RE</v>
          </cell>
          <cell r="F20" t="str">
            <v>RE</v>
          </cell>
          <cell r="G20" t="str">
            <v>HI</v>
          </cell>
          <cell r="H20" t="str">
            <v>HI</v>
          </cell>
          <cell r="I20" t="str">
            <v>HI</v>
          </cell>
          <cell r="J20" t="str">
            <v>BG
HI</v>
          </cell>
          <cell r="K20" t="str">
            <v>HI</v>
          </cell>
          <cell r="L20" t="str">
            <v>BG
HI</v>
          </cell>
          <cell r="M20" t="str">
            <v>RE</v>
          </cell>
          <cell r="N20" t="str">
            <v>RE</v>
          </cell>
          <cell r="O20" t="str">
            <v>RE</v>
          </cell>
          <cell r="P20" t="str">
            <v>TCC</v>
          </cell>
          <cell r="Q20" t="str">
            <v>RE</v>
          </cell>
          <cell r="R20" t="str">
            <v>TCC</v>
          </cell>
          <cell r="S20" t="str">
            <v>HI</v>
          </cell>
          <cell r="T20" t="str">
            <v>HI</v>
          </cell>
          <cell r="U20" t="str">
            <v>HI</v>
          </cell>
          <cell r="V20" t="str">
            <v>HI</v>
          </cell>
          <cell r="W20" t="str">
            <v>TCC</v>
          </cell>
          <cell r="X20" t="str">
            <v>RE</v>
          </cell>
          <cell r="Y20" t="str">
            <v>HI</v>
          </cell>
        </row>
        <row r="21">
          <cell r="A21" t="str">
            <v>17/01/25</v>
          </cell>
          <cell r="B21" t="str">
            <v>TCC</v>
          </cell>
          <cell r="C21" t="str">
            <v>HI</v>
          </cell>
          <cell r="D21" t="str">
            <v>TCC</v>
          </cell>
          <cell r="E21" t="str">
            <v>HI</v>
          </cell>
          <cell r="F21" t="str">
            <v>TCC</v>
          </cell>
          <cell r="G21" t="str">
            <v>TCC</v>
          </cell>
          <cell r="H21" t="str">
            <v>BG</v>
          </cell>
          <cell r="I21" t="str">
            <v>HI</v>
          </cell>
          <cell r="J21" t="str">
            <v>BG
HI</v>
          </cell>
          <cell r="K21" t="str">
            <v>HI</v>
          </cell>
          <cell r="L21" t="str">
            <v>TCC</v>
          </cell>
          <cell r="M21" t="str">
            <v>HI</v>
          </cell>
          <cell r="N21" t="str">
            <v>TCC</v>
          </cell>
          <cell r="O21" t="str">
            <v>RE</v>
          </cell>
          <cell r="P21" t="str">
            <v>TCC</v>
          </cell>
          <cell r="Q21" t="str">
            <v>HI
RE</v>
          </cell>
          <cell r="R21" t="str">
            <v>HI</v>
          </cell>
          <cell r="S21" t="str">
            <v>TCC</v>
          </cell>
          <cell r="T21" t="str">
            <v>HI</v>
          </cell>
          <cell r="U21" t="str">
            <v>HI</v>
          </cell>
          <cell r="V21" t="str">
            <v>RE</v>
          </cell>
          <cell r="W21" t="str">
            <v>HI</v>
          </cell>
          <cell r="X21" t="str">
            <v>TER</v>
          </cell>
          <cell r="Y21" t="str">
            <v>BG</v>
          </cell>
        </row>
        <row r="22">
          <cell r="A22" t="str">
            <v>18/01/25</v>
          </cell>
          <cell r="B22" t="str">
            <v>HI</v>
          </cell>
          <cell r="C22" t="str">
            <v>HI</v>
          </cell>
          <cell r="D22" t="str">
            <v>HI</v>
          </cell>
          <cell r="E22" t="str">
            <v>BG</v>
          </cell>
          <cell r="F22" t="str">
            <v>HI</v>
          </cell>
          <cell r="G22" t="str">
            <v>HI</v>
          </cell>
          <cell r="H22" t="str">
            <v>HI</v>
          </cell>
          <cell r="I22" t="str">
            <v>HI</v>
          </cell>
          <cell r="J22" t="str">
            <v>TCC</v>
          </cell>
          <cell r="K22" t="str">
            <v>TCC</v>
          </cell>
          <cell r="L22" t="str">
            <v>RE</v>
          </cell>
          <cell r="M22" t="str">
            <v>HI</v>
          </cell>
          <cell r="N22" t="str">
            <v>TCC</v>
          </cell>
          <cell r="O22" t="str">
            <v>HI</v>
          </cell>
          <cell r="P22" t="str">
            <v>HI</v>
          </cell>
          <cell r="Q22" t="str">
            <v>TCC</v>
          </cell>
          <cell r="R22" t="str">
            <v>HI</v>
          </cell>
          <cell r="S22" t="str">
            <v>TCC</v>
          </cell>
          <cell r="T22" t="str">
            <v>BG</v>
          </cell>
          <cell r="U22" t="str">
            <v>BG</v>
          </cell>
          <cell r="V22" t="str">
            <v>HI</v>
          </cell>
          <cell r="W22" t="str">
            <v>TCC</v>
          </cell>
          <cell r="X22" t="str">
            <v>HI</v>
          </cell>
          <cell r="Y22" t="str">
            <v>HI</v>
          </cell>
        </row>
        <row r="23">
          <cell r="A23" t="str">
            <v>19/01/25</v>
          </cell>
          <cell r="B23" t="str">
            <v>HI</v>
          </cell>
          <cell r="C23" t="str">
            <v>HI</v>
          </cell>
          <cell r="D23" t="str">
            <v>HI</v>
          </cell>
          <cell r="E23" t="str">
            <v>HI</v>
          </cell>
          <cell r="F23" t="str">
            <v>HI</v>
          </cell>
          <cell r="G23" t="str">
            <v>HI</v>
          </cell>
          <cell r="H23" t="str">
            <v>HI</v>
          </cell>
          <cell r="I23" t="str">
            <v>HI</v>
          </cell>
          <cell r="J23" t="str">
            <v>HI</v>
          </cell>
          <cell r="K23" t="str">
            <v>HI</v>
          </cell>
          <cell r="L23" t="str">
            <v>HI</v>
          </cell>
          <cell r="M23" t="str">
            <v>BG</v>
          </cell>
          <cell r="N23" t="str">
            <v>RE</v>
          </cell>
          <cell r="O23" t="str">
            <v>RE</v>
          </cell>
          <cell r="P23" t="str">
            <v>RE</v>
          </cell>
          <cell r="Q23" t="str">
            <v>RE</v>
          </cell>
          <cell r="R23" t="str">
            <v>RE</v>
          </cell>
          <cell r="S23" t="str">
            <v>TCC</v>
          </cell>
          <cell r="T23" t="str">
            <v>HI</v>
          </cell>
          <cell r="U23" t="str">
            <v>HI</v>
          </cell>
          <cell r="V23" t="str">
            <v>HI</v>
          </cell>
          <cell r="W23" t="str">
            <v>HI</v>
          </cell>
          <cell r="X23" t="str">
            <v>HI</v>
          </cell>
          <cell r="Y23" t="str">
            <v>HI</v>
          </cell>
        </row>
        <row r="24">
          <cell r="A24" t="str">
            <v>20/01/25</v>
          </cell>
          <cell r="B24" t="str">
            <v>HI</v>
          </cell>
          <cell r="C24" t="str">
            <v>TCC</v>
          </cell>
          <cell r="D24" t="str">
            <v>TCC</v>
          </cell>
          <cell r="E24" t="str">
            <v>RE</v>
          </cell>
          <cell r="F24" t="str">
            <v>RE</v>
          </cell>
          <cell r="G24" t="str">
            <v>TCC</v>
          </cell>
          <cell r="H24" t="str">
            <v>TER</v>
          </cell>
          <cell r="I24" t="str">
            <v>HI</v>
          </cell>
          <cell r="J24" t="str">
            <v>BG</v>
          </cell>
          <cell r="K24" t="str">
            <v>TCC</v>
          </cell>
          <cell r="L24" t="str">
            <v>BG</v>
          </cell>
          <cell r="M24" t="str">
            <v>TCC</v>
          </cell>
          <cell r="N24" t="str">
            <v>BG</v>
          </cell>
          <cell r="O24" t="str">
            <v>BG</v>
          </cell>
          <cell r="P24" t="str">
            <v>BG</v>
          </cell>
          <cell r="Q24" t="str">
            <v>TCC</v>
          </cell>
          <cell r="R24" t="str">
            <v>BG</v>
          </cell>
          <cell r="S24" t="str">
            <v>BG</v>
          </cell>
          <cell r="T24" t="str">
            <v>TCC</v>
          </cell>
          <cell r="U24" t="str">
            <v>HI</v>
          </cell>
          <cell r="V24" t="str">
            <v>HI</v>
          </cell>
          <cell r="W24" t="str">
            <v>HI</v>
          </cell>
          <cell r="X24" t="str">
            <v>BG</v>
          </cell>
          <cell r="Y24" t="str">
            <v>HI</v>
          </cell>
        </row>
        <row r="25">
          <cell r="A25" t="str">
            <v>21/01/25</v>
          </cell>
          <cell r="B25" t="str">
            <v>HI</v>
          </cell>
          <cell r="C25" t="str">
            <v>HI</v>
          </cell>
          <cell r="D25" t="str">
            <v>HI</v>
          </cell>
          <cell r="E25" t="str">
            <v>TCC</v>
          </cell>
          <cell r="F25" t="str">
            <v>TCC</v>
          </cell>
          <cell r="G25" t="str">
            <v>HI</v>
          </cell>
          <cell r="H25" t="str">
            <v>HI</v>
          </cell>
          <cell r="I25" t="str">
            <v>RE
TCC</v>
          </cell>
          <cell r="J25" t="str">
            <v>BG
RE</v>
          </cell>
          <cell r="K25" t="str">
            <v>BG</v>
          </cell>
          <cell r="L25" t="str">
            <v>TCC</v>
          </cell>
          <cell r="M25" t="str">
            <v>TCC</v>
          </cell>
          <cell r="N25" t="str">
            <v>HI</v>
          </cell>
          <cell r="O25" t="str">
            <v>HI</v>
          </cell>
          <cell r="P25" t="str">
            <v>TCC</v>
          </cell>
          <cell r="Q25" t="str">
            <v>HI</v>
          </cell>
          <cell r="R25" t="str">
            <v>HI</v>
          </cell>
          <cell r="S25" t="str">
            <v>HI</v>
          </cell>
          <cell r="T25" t="str">
            <v>HI</v>
          </cell>
          <cell r="U25" t="str">
            <v>RE</v>
          </cell>
          <cell r="V25" t="str">
            <v>BG</v>
          </cell>
          <cell r="W25" t="str">
            <v>TCC</v>
          </cell>
          <cell r="X25" t="str">
            <v>TCC
TER</v>
          </cell>
          <cell r="Y25" t="str">
            <v>RE</v>
          </cell>
        </row>
        <row r="26">
          <cell r="A26" t="str">
            <v>22/01/25</v>
          </cell>
          <cell r="B26" t="str">
            <v>HI</v>
          </cell>
          <cell r="C26" t="str">
            <v>RE</v>
          </cell>
          <cell r="D26" t="str">
            <v>HI</v>
          </cell>
          <cell r="E26" t="str">
            <v>HI</v>
          </cell>
          <cell r="F26" t="str">
            <v>HI</v>
          </cell>
          <cell r="G26" t="str">
            <v>HI</v>
          </cell>
          <cell r="H26" t="str">
            <v>RE</v>
          </cell>
          <cell r="I26" t="str">
            <v>HI</v>
          </cell>
          <cell r="J26" t="str">
            <v>TCC</v>
          </cell>
          <cell r="K26" t="str">
            <v>TCC</v>
          </cell>
          <cell r="L26" t="str">
            <v>HI</v>
          </cell>
          <cell r="M26" t="str">
            <v>RE
TER</v>
          </cell>
          <cell r="N26" t="str">
            <v>HI</v>
          </cell>
          <cell r="O26" t="str">
            <v>HI</v>
          </cell>
          <cell r="P26" t="str">
            <v>HI</v>
          </cell>
          <cell r="Q26" t="str">
            <v>HI</v>
          </cell>
          <cell r="R26" t="str">
            <v>TCC</v>
          </cell>
          <cell r="S26" t="str">
            <v>HI</v>
          </cell>
          <cell r="T26" t="str">
            <v>HI</v>
          </cell>
          <cell r="U26" t="str">
            <v>HI</v>
          </cell>
          <cell r="V26" t="str">
            <v>BG</v>
          </cell>
          <cell r="W26" t="str">
            <v>BG</v>
          </cell>
          <cell r="X26" t="str">
            <v>BG</v>
          </cell>
          <cell r="Y26" t="str">
            <v>HI</v>
          </cell>
        </row>
        <row r="27">
          <cell r="A27" t="str">
            <v>23/01/25</v>
          </cell>
          <cell r="B27" t="str">
            <v>HI</v>
          </cell>
          <cell r="C27" t="str">
            <v>TCC</v>
          </cell>
          <cell r="D27" t="str">
            <v>HI</v>
          </cell>
          <cell r="E27" t="str">
            <v>TCC</v>
          </cell>
          <cell r="F27" t="str">
            <v>RE</v>
          </cell>
          <cell r="G27" t="str">
            <v>HI</v>
          </cell>
          <cell r="H27" t="str">
            <v>HI</v>
          </cell>
          <cell r="I27" t="str">
            <v>TCC</v>
          </cell>
          <cell r="J27" t="str">
            <v>BG</v>
          </cell>
          <cell r="K27" t="str">
            <v>TCC</v>
          </cell>
          <cell r="L27" t="str">
            <v>HI</v>
          </cell>
          <cell r="M27" t="str">
            <v>TCC</v>
          </cell>
          <cell r="N27" t="str">
            <v>HI</v>
          </cell>
          <cell r="O27" t="str">
            <v>HI</v>
          </cell>
          <cell r="P27" t="str">
            <v>RE</v>
          </cell>
          <cell r="Q27" t="str">
            <v>TCC</v>
          </cell>
          <cell r="R27" t="str">
            <v>HI</v>
          </cell>
          <cell r="S27" t="str">
            <v>HI</v>
          </cell>
          <cell r="T27" t="str">
            <v>HI</v>
          </cell>
          <cell r="U27" t="str">
            <v>HI</v>
          </cell>
          <cell r="V27" t="str">
            <v>HI</v>
          </cell>
          <cell r="W27" t="str">
            <v>HI</v>
          </cell>
          <cell r="X27" t="str">
            <v>HI</v>
          </cell>
          <cell r="Y27" t="str">
            <v>BG
HI</v>
          </cell>
        </row>
        <row r="28">
          <cell r="A28" t="str">
            <v>24/01/25</v>
          </cell>
          <cell r="B28" t="str">
            <v>HI</v>
          </cell>
          <cell r="C28" t="str">
            <v>HI</v>
          </cell>
          <cell r="D28" t="str">
            <v>HI</v>
          </cell>
          <cell r="E28" t="str">
            <v>RE</v>
          </cell>
          <cell r="F28" t="str">
            <v>RE</v>
          </cell>
          <cell r="G28" t="str">
            <v>RE</v>
          </cell>
          <cell r="H28" t="str">
            <v>HI</v>
          </cell>
          <cell r="I28" t="str">
            <v>HI</v>
          </cell>
          <cell r="J28" t="str">
            <v>HI</v>
          </cell>
          <cell r="K28" t="str">
            <v>HI</v>
          </cell>
          <cell r="L28" t="str">
            <v>HI</v>
          </cell>
          <cell r="M28" t="str">
            <v>RE</v>
          </cell>
          <cell r="N28" t="str">
            <v>HI</v>
          </cell>
          <cell r="O28" t="str">
            <v>RE</v>
          </cell>
          <cell r="P28" t="str">
            <v>RE</v>
          </cell>
          <cell r="Q28" t="str">
            <v>RE</v>
          </cell>
          <cell r="R28" t="str">
            <v>RE</v>
          </cell>
          <cell r="S28" t="str">
            <v>HI</v>
          </cell>
          <cell r="T28" t="str">
            <v>HI</v>
          </cell>
          <cell r="U28" t="str">
            <v>BG</v>
          </cell>
          <cell r="V28" t="str">
            <v>HI</v>
          </cell>
          <cell r="W28" t="str">
            <v>HI</v>
          </cell>
          <cell r="X28" t="str">
            <v>HI</v>
          </cell>
          <cell r="Y28" t="str">
            <v>HI</v>
          </cell>
        </row>
        <row r="29">
          <cell r="A29" t="str">
            <v>25/01/25</v>
          </cell>
          <cell r="B29" t="str">
            <v>RE</v>
          </cell>
          <cell r="C29" t="str">
            <v>HI</v>
          </cell>
          <cell r="D29" t="str">
            <v>RE</v>
          </cell>
          <cell r="E29" t="str">
            <v>RE</v>
          </cell>
          <cell r="F29" t="str">
            <v>RE</v>
          </cell>
          <cell r="G29" t="str">
            <v>RE</v>
          </cell>
          <cell r="H29" t="str">
            <v>RE</v>
          </cell>
          <cell r="I29" t="str">
            <v>HI</v>
          </cell>
          <cell r="J29" t="str">
            <v>HI</v>
          </cell>
          <cell r="K29" t="str">
            <v>HI</v>
          </cell>
          <cell r="L29" t="str">
            <v>NU</v>
          </cell>
          <cell r="M29" t="str">
            <v>RE</v>
          </cell>
          <cell r="N29" t="str">
            <v>HI</v>
          </cell>
          <cell r="O29" t="str">
            <v>RE</v>
          </cell>
          <cell r="P29" t="str">
            <v>NU</v>
          </cell>
          <cell r="Q29" t="str">
            <v>RE</v>
          </cell>
          <cell r="R29" t="str">
            <v>RE</v>
          </cell>
          <cell r="S29" t="str">
            <v>HI</v>
          </cell>
          <cell r="T29" t="str">
            <v>HI</v>
          </cell>
          <cell r="U29" t="str">
            <v>HI</v>
          </cell>
          <cell r="V29" t="str">
            <v>BG</v>
          </cell>
          <cell r="W29" t="str">
            <v>HI</v>
          </cell>
          <cell r="X29" t="str">
            <v>BG</v>
          </cell>
          <cell r="Y29" t="str">
            <v>HI</v>
          </cell>
        </row>
        <row r="30">
          <cell r="A30" t="str">
            <v>26/01/25</v>
          </cell>
          <cell r="B30" t="str">
            <v>HI</v>
          </cell>
          <cell r="C30" t="str">
            <v>RE</v>
          </cell>
          <cell r="D30" t="str">
            <v>HI</v>
          </cell>
          <cell r="E30" t="str">
            <v>RE</v>
          </cell>
          <cell r="F30" t="str">
            <v>RE</v>
          </cell>
          <cell r="G30" t="str">
            <v>HI</v>
          </cell>
          <cell r="H30" t="str">
            <v>RE</v>
          </cell>
          <cell r="I30" t="str">
            <v>RE</v>
          </cell>
          <cell r="J30" t="str">
            <v>HI</v>
          </cell>
          <cell r="K30" t="str">
            <v>HI</v>
          </cell>
          <cell r="L30" t="str">
            <v>HI</v>
          </cell>
          <cell r="M30" t="str">
            <v>RE</v>
          </cell>
          <cell r="N30" t="str">
            <v>HI</v>
          </cell>
          <cell r="O30" t="str">
            <v>RE</v>
          </cell>
          <cell r="P30" t="str">
            <v>RE</v>
          </cell>
          <cell r="Q30" t="str">
            <v>RE</v>
          </cell>
          <cell r="R30" t="str">
            <v>RE</v>
          </cell>
          <cell r="S30" t="str">
            <v>HI</v>
          </cell>
          <cell r="T30" t="str">
            <v>HI</v>
          </cell>
          <cell r="U30" t="str">
            <v>HI</v>
          </cell>
          <cell r="V30" t="str">
            <v>HI</v>
          </cell>
          <cell r="W30" t="str">
            <v>BG</v>
          </cell>
          <cell r="X30" t="str">
            <v>HI</v>
          </cell>
          <cell r="Y30" t="str">
            <v>RE</v>
          </cell>
        </row>
        <row r="31">
          <cell r="A31" t="str">
            <v>27/01/25</v>
          </cell>
          <cell r="B31" t="str">
            <v>RE</v>
          </cell>
          <cell r="C31" t="str">
            <v>RE</v>
          </cell>
          <cell r="D31" t="str">
            <v>RE</v>
          </cell>
          <cell r="E31" t="str">
            <v>RE</v>
          </cell>
          <cell r="F31" t="str">
            <v>RE</v>
          </cell>
          <cell r="G31" t="str">
            <v>RE</v>
          </cell>
          <cell r="H31" t="str">
            <v>RE</v>
          </cell>
          <cell r="I31" t="str">
            <v>MIP</v>
          </cell>
          <cell r="J31" t="str">
            <v>HI</v>
          </cell>
          <cell r="K31" t="str">
            <v>BG</v>
          </cell>
          <cell r="L31" t="str">
            <v>HI</v>
          </cell>
          <cell r="M31" t="str">
            <v>HI</v>
          </cell>
          <cell r="N31" t="str">
            <v>RE</v>
          </cell>
          <cell r="O31" t="str">
            <v>RE</v>
          </cell>
          <cell r="P31" t="str">
            <v>RE</v>
          </cell>
          <cell r="Q31" t="str">
            <v>RE</v>
          </cell>
          <cell r="R31" t="str">
            <v>RE</v>
          </cell>
          <cell r="S31" t="str">
            <v>HI</v>
          </cell>
          <cell r="T31" t="str">
            <v>BG</v>
          </cell>
          <cell r="U31" t="str">
            <v>HI</v>
          </cell>
          <cell r="V31" t="str">
            <v>BG</v>
          </cell>
          <cell r="W31" t="str">
            <v>HI</v>
          </cell>
          <cell r="X31" t="str">
            <v>HI</v>
          </cell>
          <cell r="Y31" t="str">
            <v>HI</v>
          </cell>
        </row>
        <row r="32">
          <cell r="A32" t="str">
            <v>28/01/25</v>
          </cell>
          <cell r="B32" t="str">
            <v>RE</v>
          </cell>
          <cell r="C32" t="str">
            <v>HI
RE</v>
          </cell>
          <cell r="D32" t="str">
            <v>RE</v>
          </cell>
          <cell r="E32" t="str">
            <v>RE</v>
          </cell>
          <cell r="F32" t="str">
            <v>RE</v>
          </cell>
          <cell r="G32" t="str">
            <v>RE</v>
          </cell>
          <cell r="H32" t="str">
            <v>RE</v>
          </cell>
          <cell r="I32" t="str">
            <v>RE</v>
          </cell>
          <cell r="J32" t="str">
            <v>BG</v>
          </cell>
          <cell r="K32" t="str">
            <v>HI</v>
          </cell>
          <cell r="L32" t="str">
            <v>RE</v>
          </cell>
          <cell r="M32" t="str">
            <v>HI
RE</v>
          </cell>
          <cell r="N32" t="str">
            <v>RE</v>
          </cell>
          <cell r="O32" t="str">
            <v>RE</v>
          </cell>
          <cell r="P32" t="str">
            <v>RE</v>
          </cell>
          <cell r="Q32" t="str">
            <v>RE</v>
          </cell>
          <cell r="R32" t="str">
            <v>RE</v>
          </cell>
          <cell r="S32" t="str">
            <v>RE</v>
          </cell>
          <cell r="T32" t="str">
            <v>RE</v>
          </cell>
          <cell r="U32" t="str">
            <v>HI</v>
          </cell>
          <cell r="V32" t="str">
            <v>HI</v>
          </cell>
          <cell r="W32" t="str">
            <v>HI</v>
          </cell>
          <cell r="X32" t="str">
            <v>BG</v>
          </cell>
          <cell r="Y32" t="str">
            <v>HI</v>
          </cell>
        </row>
        <row r="33">
          <cell r="A33" t="str">
            <v>29/01/25</v>
          </cell>
          <cell r="B33" t="str">
            <v>RE</v>
          </cell>
          <cell r="C33" t="str">
            <v>RE</v>
          </cell>
          <cell r="D33" t="str">
            <v>RE</v>
          </cell>
          <cell r="E33" t="str">
            <v>RE</v>
          </cell>
          <cell r="F33" t="str">
            <v>RE</v>
          </cell>
          <cell r="G33" t="str">
            <v>RE</v>
          </cell>
          <cell r="H33" t="str">
            <v>RE</v>
          </cell>
          <cell r="I33" t="str">
            <v>RE</v>
          </cell>
          <cell r="J33" t="str">
            <v>HI</v>
          </cell>
          <cell r="K33" t="str">
            <v>HI</v>
          </cell>
          <cell r="L33" t="str">
            <v>HI</v>
          </cell>
          <cell r="M33" t="str">
            <v>BG</v>
          </cell>
          <cell r="N33" t="str">
            <v>HI</v>
          </cell>
          <cell r="O33" t="str">
            <v>RE</v>
          </cell>
          <cell r="P33" t="str">
            <v>RE</v>
          </cell>
          <cell r="Q33" t="str">
            <v>RE</v>
          </cell>
          <cell r="R33" t="str">
            <v>RE</v>
          </cell>
          <cell r="S33" t="str">
            <v>HI</v>
          </cell>
          <cell r="T33" t="str">
            <v>RE</v>
          </cell>
          <cell r="U33" t="str">
            <v>HI</v>
          </cell>
          <cell r="V33" t="str">
            <v>TCC</v>
          </cell>
          <cell r="W33" t="str">
            <v>HI</v>
          </cell>
          <cell r="X33" t="str">
            <v>HI</v>
          </cell>
          <cell r="Y33" t="str">
            <v>HI</v>
          </cell>
        </row>
        <row r="34">
          <cell r="A34" t="str">
            <v>30/01/25</v>
          </cell>
          <cell r="B34" t="str">
            <v>HI</v>
          </cell>
          <cell r="C34" t="str">
            <v>RE</v>
          </cell>
          <cell r="D34" t="str">
            <v>RE</v>
          </cell>
          <cell r="E34" t="str">
            <v>RE</v>
          </cell>
          <cell r="F34" t="str">
            <v>RE</v>
          </cell>
          <cell r="G34" t="str">
            <v>RE</v>
          </cell>
          <cell r="H34" t="str">
            <v>RE</v>
          </cell>
          <cell r="I34" t="str">
            <v>HI</v>
          </cell>
          <cell r="J34" t="str">
            <v>HI</v>
          </cell>
          <cell r="K34" t="str">
            <v>RE</v>
          </cell>
          <cell r="L34" t="str">
            <v>RE</v>
          </cell>
          <cell r="M34" t="str">
            <v>RE</v>
          </cell>
          <cell r="N34" t="str">
            <v>RE</v>
          </cell>
          <cell r="O34" t="str">
            <v>HI
RE</v>
          </cell>
          <cell r="P34" t="str">
            <v>HI
RE</v>
          </cell>
          <cell r="Q34" t="str">
            <v>HI</v>
          </cell>
          <cell r="R34" t="str">
            <v>RE</v>
          </cell>
          <cell r="S34" t="str">
            <v>RE</v>
          </cell>
          <cell r="T34" t="str">
            <v>BG</v>
          </cell>
          <cell r="U34" t="str">
            <v>BG</v>
          </cell>
          <cell r="V34" t="str">
            <v>RE</v>
          </cell>
          <cell r="W34" t="str">
            <v>HI</v>
          </cell>
          <cell r="X34" t="str">
            <v>HI</v>
          </cell>
          <cell r="Y34" t="str">
            <v>RE</v>
          </cell>
        </row>
        <row r="35">
          <cell r="A35" t="str">
            <v>31/01/25</v>
          </cell>
          <cell r="B35" t="str">
            <v>II</v>
          </cell>
          <cell r="C35" t="str">
            <v>RE</v>
          </cell>
          <cell r="D35" t="str">
            <v>RE</v>
          </cell>
          <cell r="E35" t="str">
            <v>HI</v>
          </cell>
          <cell r="F35" t="str">
            <v>RE</v>
          </cell>
          <cell r="G35" t="str">
            <v>RE</v>
          </cell>
          <cell r="H35" t="str">
            <v>HI</v>
          </cell>
          <cell r="I35" t="str">
            <v>HI</v>
          </cell>
          <cell r="J35" t="str">
            <v>BG</v>
          </cell>
          <cell r="K35" t="str">
            <v>HI</v>
          </cell>
          <cell r="L35" t="str">
            <v>RE</v>
          </cell>
          <cell r="M35" t="str">
            <v>RE</v>
          </cell>
          <cell r="N35" t="str">
            <v>RE</v>
          </cell>
          <cell r="O35" t="str">
            <v>RE</v>
          </cell>
          <cell r="P35" t="str">
            <v>RE</v>
          </cell>
          <cell r="Q35" t="str">
            <v>RE</v>
          </cell>
          <cell r="R35" t="str">
            <v>RE</v>
          </cell>
          <cell r="S35" t="str">
            <v>HI</v>
          </cell>
          <cell r="T35" t="str">
            <v>HI</v>
          </cell>
          <cell r="U35" t="str">
            <v>HI</v>
          </cell>
          <cell r="V35" t="str">
            <v>HI</v>
          </cell>
          <cell r="W35" t="str">
            <v>HI</v>
          </cell>
          <cell r="X35" t="str">
            <v>HI</v>
          </cell>
          <cell r="Y35" t="str">
            <v>HI</v>
          </cell>
        </row>
      </sheetData>
      <sheetData sheetId="2"/>
      <sheetData sheetId="3">
        <row r="5">
          <cell r="C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341</v>
      </c>
    </row>
    <row r="2" spans="1:2">
      <c r="A2" t="s">
        <v>332</v>
      </c>
    </row>
    <row r="3" spans="1:2">
      <c r="A3" t="s">
        <v>335</v>
      </c>
    </row>
    <row r="4" spans="1:2">
      <c r="A4" t="s">
        <v>337</v>
      </c>
    </row>
    <row r="5" spans="1:2">
      <c r="A5" t="s">
        <v>336</v>
      </c>
    </row>
    <row r="6" spans="1:2">
      <c r="A6" t="s">
        <v>288</v>
      </c>
    </row>
    <row r="7" spans="1:2">
      <c r="A7" t="s">
        <v>287</v>
      </c>
    </row>
    <row r="8" spans="1:2">
      <c r="A8" t="s">
        <v>286</v>
      </c>
    </row>
    <row r="9" spans="1:2">
      <c r="A9" t="s">
        <v>338</v>
      </c>
    </row>
    <row r="10" spans="1:2">
      <c r="A10" t="s">
        <v>289</v>
      </c>
    </row>
    <row r="11" spans="1:2">
      <c r="A11" t="s">
        <v>339</v>
      </c>
    </row>
    <row r="12" spans="1:2">
      <c r="A12" t="s">
        <v>334</v>
      </c>
    </row>
    <row r="13" spans="1:2">
      <c r="A13" t="s">
        <v>333</v>
      </c>
    </row>
    <row r="14" spans="1:2">
      <c r="A14" t="s">
        <v>340</v>
      </c>
    </row>
    <row r="15" spans="1:2">
      <c r="A15" t="s">
        <v>342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zoomScale="99" zoomScaleNormal="99" workbookViewId="0">
      <selection activeCell="H40" sqref="H40"/>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8"/>
      <c r="D2" s="98"/>
      <c r="E2" s="213" t="s">
        <v>31</v>
      </c>
    </row>
    <row r="3" spans="2:8" ht="15" customHeight="1">
      <c r="C3" s="98"/>
      <c r="D3" s="98"/>
      <c r="E3" s="18" t="str">
        <f>Dat_01!A2</f>
        <v>Enero 2025</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70</v>
      </c>
      <c r="E8" s="102" t="s">
        <v>37</v>
      </c>
      <c r="F8" s="103"/>
      <c r="G8" s="78"/>
    </row>
    <row r="9" spans="2:8" s="1" customFormat="1" ht="12.6" customHeight="1">
      <c r="B9" s="2"/>
      <c r="C9" s="100"/>
      <c r="D9" s="101" t="s">
        <v>70</v>
      </c>
      <c r="E9" s="102" t="s">
        <v>71</v>
      </c>
      <c r="F9" s="103"/>
      <c r="G9" s="78"/>
    </row>
    <row r="10" spans="2:8" s="1" customFormat="1" ht="12.6" customHeight="1">
      <c r="B10" s="2"/>
      <c r="C10" s="100"/>
      <c r="D10" s="101" t="s">
        <v>70</v>
      </c>
      <c r="E10" s="102" t="s">
        <v>72</v>
      </c>
      <c r="F10" s="103"/>
      <c r="H10" s="98"/>
    </row>
    <row r="11" spans="2:8" s="1" customFormat="1" ht="12.6" customHeight="1">
      <c r="B11" s="2"/>
      <c r="C11" s="100"/>
      <c r="D11" s="101" t="s">
        <v>70</v>
      </c>
      <c r="E11" s="102" t="s">
        <v>73</v>
      </c>
      <c r="F11" s="103"/>
      <c r="H11" s="98"/>
    </row>
    <row r="12" spans="2:8" s="1" customFormat="1" ht="12.6" customHeight="1">
      <c r="B12" s="2"/>
      <c r="C12" s="100"/>
      <c r="D12" s="101" t="s">
        <v>70</v>
      </c>
      <c r="E12" s="102" t="s">
        <v>28</v>
      </c>
      <c r="F12" s="103"/>
    </row>
    <row r="13" spans="2:8" s="1" customFormat="1" ht="12.6" customHeight="1">
      <c r="B13" s="2"/>
      <c r="C13" s="100"/>
      <c r="D13" s="101" t="s">
        <v>70</v>
      </c>
      <c r="E13" s="102" t="s">
        <v>74</v>
      </c>
      <c r="F13" s="103"/>
    </row>
    <row r="14" spans="2:8" s="1" customFormat="1" ht="12.6" customHeight="1">
      <c r="B14" s="2"/>
      <c r="C14" s="100"/>
      <c r="D14" s="101" t="s">
        <v>70</v>
      </c>
      <c r="E14" s="102" t="s">
        <v>223</v>
      </c>
      <c r="F14" s="103"/>
    </row>
    <row r="15" spans="2:8" s="1" customFormat="1" ht="12.6" customHeight="1">
      <c r="B15" s="2"/>
      <c r="C15" s="100"/>
      <c r="D15" s="101" t="s">
        <v>70</v>
      </c>
      <c r="E15" s="102" t="s">
        <v>35</v>
      </c>
      <c r="F15" s="103"/>
    </row>
    <row r="16" spans="2:8" s="1" customFormat="1" ht="12.6" customHeight="1">
      <c r="B16" s="2"/>
      <c r="C16" s="100"/>
      <c r="D16" s="101" t="s">
        <v>70</v>
      </c>
      <c r="E16" s="102" t="s">
        <v>295</v>
      </c>
      <c r="F16" s="103"/>
    </row>
    <row r="17" spans="2:6" s="1" customFormat="1" ht="12.6" customHeight="1">
      <c r="B17" s="2"/>
      <c r="C17" s="100"/>
      <c r="D17" s="101" t="s">
        <v>70</v>
      </c>
      <c r="E17" s="102" t="s">
        <v>69</v>
      </c>
      <c r="F17" s="103"/>
    </row>
    <row r="18" spans="2:6" s="1" customFormat="1" ht="12.6" customHeight="1">
      <c r="B18" s="2"/>
      <c r="C18" s="100"/>
      <c r="D18" s="101" t="s">
        <v>70</v>
      </c>
      <c r="E18" s="102" t="s">
        <v>3</v>
      </c>
      <c r="F18" s="103"/>
    </row>
    <row r="19" spans="2:6" s="1" customFormat="1" ht="12.6" customHeight="1">
      <c r="B19" s="2"/>
      <c r="C19" s="100"/>
      <c r="D19" s="101" t="s">
        <v>70</v>
      </c>
      <c r="E19" s="102" t="s">
        <v>201</v>
      </c>
      <c r="F19" s="103"/>
    </row>
    <row r="20" spans="2:6" s="1" customFormat="1" ht="12.6" customHeight="1">
      <c r="B20" s="2"/>
      <c r="C20" s="100"/>
      <c r="D20" s="101" t="s">
        <v>70</v>
      </c>
      <c r="E20" s="102" t="s">
        <v>199</v>
      </c>
      <c r="F20" s="103"/>
    </row>
    <row r="21" spans="2:6" s="1" customFormat="1" ht="12.6" customHeight="1">
      <c r="B21" s="2"/>
      <c r="C21" s="100"/>
      <c r="D21" s="104" t="s">
        <v>70</v>
      </c>
      <c r="E21" s="102" t="s">
        <v>24</v>
      </c>
      <c r="F21" s="103"/>
    </row>
    <row r="22" spans="2:6" s="1" customFormat="1" ht="8.25" customHeight="1">
      <c r="B22" s="2"/>
      <c r="C22" s="100"/>
      <c r="D22" s="104"/>
      <c r="E22" s="105"/>
      <c r="F22" s="103"/>
    </row>
    <row r="23" spans="2:6" ht="11.25" customHeight="1"/>
    <row r="24" spans="2:6">
      <c r="C24" s="106" t="s">
        <v>262</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N13" sqref="N13"/>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31</v>
      </c>
    </row>
    <row r="3" spans="3:12" ht="12.75">
      <c r="C3"/>
      <c r="D3"/>
      <c r="L3" s="18" t="str">
        <f>Indice!E3</f>
        <v>Enero 2025</v>
      </c>
    </row>
    <row r="4" spans="3:12" ht="12.75">
      <c r="C4" s="19" t="s">
        <v>30</v>
      </c>
    </row>
    <row r="5" spans="3:12" ht="11.25">
      <c r="C5" s="3"/>
    </row>
    <row r="6" spans="3:12" ht="11.25">
      <c r="C6" s="4"/>
    </row>
    <row r="7" spans="3:12" ht="10.5" customHeight="1">
      <c r="C7" s="244" t="s">
        <v>37</v>
      </c>
    </row>
    <row r="8" spans="3:12" ht="10.5" customHeight="1">
      <c r="C8" s="244"/>
    </row>
    <row r="9" spans="3:12" ht="10.5" customHeight="1">
      <c r="C9" s="52" t="s">
        <v>14</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K10" sqref="K1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31</v>
      </c>
      <c r="F2"/>
    </row>
    <row r="3" spans="2:8" ht="15" customHeight="1">
      <c r="E3" s="18" t="str">
        <f>Indice!E3</f>
        <v>Enero 2025</v>
      </c>
      <c r="F3"/>
    </row>
    <row r="4" spans="2:8" s="1" customFormat="1" ht="20.100000000000001" customHeight="1">
      <c r="B4" s="2"/>
      <c r="C4" s="139" t="s">
        <v>30</v>
      </c>
    </row>
    <row r="5" spans="2:8" s="1" customFormat="1" ht="12.6" customHeight="1">
      <c r="B5" s="2"/>
      <c r="C5" s="3"/>
    </row>
    <row r="6" spans="2:8" s="1" customFormat="1" ht="13.35" customHeight="1">
      <c r="B6" s="2"/>
      <c r="C6" s="4"/>
      <c r="D6" s="5"/>
      <c r="E6" s="5"/>
    </row>
    <row r="7" spans="2:8" s="1" customFormat="1" ht="12.75" customHeight="1">
      <c r="B7" s="2"/>
      <c r="C7" s="244" t="s">
        <v>174</v>
      </c>
      <c r="D7" s="5"/>
      <c r="E7" s="6"/>
      <c r="H7" s="149"/>
    </row>
    <row r="8" spans="2:8" s="1" customFormat="1" ht="12.75" customHeight="1">
      <c r="B8" s="2"/>
      <c r="C8" s="244"/>
      <c r="D8" s="5"/>
      <c r="E8" s="6"/>
    </row>
    <row r="9" spans="2:8" s="1" customFormat="1">
      <c r="B9" s="2"/>
      <c r="C9" s="244"/>
      <c r="D9" s="5"/>
      <c r="E9" s="6"/>
    </row>
    <row r="10" spans="2:8" s="1" customFormat="1" ht="12.75" customHeight="1">
      <c r="B10" s="2"/>
      <c r="C10" s="244"/>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H17" sqref="H1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31</v>
      </c>
      <c r="F2"/>
    </row>
    <row r="3" spans="2:19" ht="15" customHeight="1">
      <c r="E3" s="82" t="str">
        <f>Indice!E3</f>
        <v>Enero 2025</v>
      </c>
      <c r="F3"/>
    </row>
    <row r="4" spans="2:19" s="1" customFormat="1" ht="20.100000000000001" customHeight="1">
      <c r="B4" s="2"/>
      <c r="C4" s="19" t="s">
        <v>30</v>
      </c>
    </row>
    <row r="5" spans="2:19" s="1" customFormat="1" ht="12.6" customHeight="1">
      <c r="B5" s="2"/>
      <c r="C5" s="3"/>
    </row>
    <row r="6" spans="2:19" s="1" customFormat="1" ht="13.35" customHeight="1">
      <c r="B6" s="2"/>
      <c r="C6" s="4"/>
      <c r="D6" s="5"/>
      <c r="E6" s="5"/>
    </row>
    <row r="7" spans="2:19" s="1" customFormat="1" ht="12.75" customHeight="1">
      <c r="B7" s="2"/>
      <c r="C7" s="244" t="s">
        <v>49</v>
      </c>
      <c r="D7" s="5"/>
      <c r="E7" s="12"/>
    </row>
    <row r="8" spans="2:19" s="1" customFormat="1" ht="12.75" customHeight="1">
      <c r="B8" s="2"/>
      <c r="C8" s="244"/>
      <c r="D8" s="5"/>
      <c r="E8" s="12"/>
    </row>
    <row r="9" spans="2:19" s="1" customFormat="1" ht="18" customHeight="1">
      <c r="B9" s="2"/>
      <c r="C9" s="244"/>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J42" sqref="J42"/>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31</v>
      </c>
    </row>
    <row r="3" spans="1:8">
      <c r="H3" s="82" t="str">
        <f>Indice!E3</f>
        <v>Enero 2025</v>
      </c>
    </row>
    <row r="4" spans="1:8">
      <c r="B4" s="19" t="s">
        <v>30</v>
      </c>
    </row>
    <row r="7" spans="1:8" ht="12.75" customHeight="1">
      <c r="B7" s="245" t="s">
        <v>43</v>
      </c>
    </row>
    <row r="8" spans="1:8">
      <c r="B8" s="245"/>
    </row>
    <row r="9" spans="1:8">
      <c r="B9" s="47" t="s">
        <v>14</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4" zoomScaleNormal="100" workbookViewId="0">
      <selection activeCell="J42" sqref="J4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31</v>
      </c>
      <c r="F2" s="10"/>
      <c r="G2" s="10"/>
      <c r="H2" s="10"/>
      <c r="I2" s="10"/>
      <c r="J2" s="10"/>
      <c r="K2" s="10"/>
      <c r="L2" s="10"/>
      <c r="M2" s="10"/>
      <c r="N2" s="10"/>
      <c r="O2" s="10"/>
      <c r="P2" s="10"/>
      <c r="Q2" s="10"/>
      <c r="R2" s="10"/>
      <c r="S2" s="10"/>
      <c r="T2" s="10"/>
    </row>
    <row r="3" spans="2:39" ht="15" customHeight="1">
      <c r="E3" s="82" t="str">
        <f>Indice!E3</f>
        <v>Enero 2025</v>
      </c>
      <c r="F3" s="11"/>
      <c r="G3" s="11"/>
      <c r="H3" s="11"/>
      <c r="I3" s="11"/>
      <c r="J3" s="11"/>
      <c r="K3" s="11"/>
      <c r="L3" s="11"/>
      <c r="M3" s="11"/>
      <c r="N3" s="11"/>
      <c r="O3" s="11"/>
      <c r="P3" s="11"/>
      <c r="Q3" s="11"/>
      <c r="R3" s="11"/>
      <c r="S3" s="11"/>
      <c r="T3" s="11"/>
    </row>
    <row r="4" spans="2:39" s="1" customFormat="1" ht="20.100000000000001" customHeight="1">
      <c r="C4" s="19" t="s">
        <v>30</v>
      </c>
    </row>
    <row r="5" spans="2:39" s="1" customFormat="1" ht="12.6" customHeight="1">
      <c r="B5" s="2"/>
      <c r="C5" s="3"/>
    </row>
    <row r="6" spans="2:39" s="1" customFormat="1" ht="13.35" customHeight="1">
      <c r="B6" s="2"/>
      <c r="C6" s="4"/>
      <c r="D6" s="5"/>
      <c r="E6" s="5"/>
    </row>
    <row r="7" spans="2:39" s="1" customFormat="1" ht="12.75" customHeight="1">
      <c r="B7" s="2"/>
      <c r="C7" s="245" t="s">
        <v>28</v>
      </c>
      <c r="D7" s="5"/>
      <c r="E7" s="12"/>
    </row>
    <row r="8" spans="2:39" s="1" customFormat="1" ht="12.75" customHeight="1">
      <c r="B8" s="2"/>
      <c r="C8" s="245"/>
      <c r="D8" s="5"/>
      <c r="E8" s="12"/>
    </row>
    <row r="9" spans="2:39" s="1" customFormat="1" ht="12.75" customHeight="1">
      <c r="B9" s="2"/>
      <c r="C9" s="245"/>
      <c r="D9" s="5"/>
      <c r="E9" s="12"/>
    </row>
    <row r="10" spans="2:39" s="1" customFormat="1" ht="12.75" customHeight="1">
      <c r="B10" s="2"/>
      <c r="C10" s="245"/>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247</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J42" sqref="J42"/>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6" t="s">
        <v>31</v>
      </c>
      <c r="F2" s="246"/>
      <c r="G2" s="246"/>
      <c r="H2" s="10"/>
      <c r="I2" s="10"/>
    </row>
    <row r="3" spans="2:11" ht="15" customHeight="1">
      <c r="E3" s="247" t="str">
        <f>Indice!E3</f>
        <v>Enero 2025</v>
      </c>
      <c r="F3" s="247"/>
      <c r="G3" s="247"/>
      <c r="H3" s="11"/>
      <c r="I3" s="11"/>
    </row>
    <row r="4" spans="2:11" s="1" customFormat="1" ht="20.100000000000001" customHeight="1">
      <c r="C4" s="19" t="s">
        <v>30</v>
      </c>
    </row>
    <row r="5" spans="2:11" s="1" customFormat="1" ht="12.6" customHeight="1">
      <c r="B5" s="2"/>
      <c r="C5" s="3"/>
    </row>
    <row r="6" spans="2:11" s="1" customFormat="1" ht="13.35" customHeight="1">
      <c r="B6" s="2"/>
      <c r="C6" s="4"/>
      <c r="D6" s="5"/>
      <c r="E6" s="5"/>
      <c r="F6" s="77"/>
    </row>
    <row r="7" spans="2:11" s="61" customFormat="1" ht="15" customHeight="1">
      <c r="B7" s="58"/>
      <c r="C7" s="245" t="s">
        <v>68</v>
      </c>
      <c r="D7" s="59"/>
      <c r="E7" s="60"/>
      <c r="F7" s="76"/>
      <c r="G7" s="76"/>
      <c r="I7" s="156"/>
    </row>
    <row r="8" spans="2:11" s="61" customFormat="1" ht="15" customHeight="1">
      <c r="B8" s="58"/>
      <c r="C8" s="245"/>
      <c r="D8" s="59"/>
      <c r="E8" s="62"/>
      <c r="F8" s="63" t="str">
        <f>Dat_01!G97</f>
        <v>2024 Enero</v>
      </c>
      <c r="G8" s="63" t="str">
        <f>Dat_01!C97</f>
        <v>2025 Enero</v>
      </c>
      <c r="I8" s="156"/>
    </row>
    <row r="9" spans="2:11" s="1" customFormat="1" ht="15" customHeight="1">
      <c r="B9" s="2"/>
      <c r="C9" s="47"/>
      <c r="D9" s="5"/>
      <c r="E9" s="161" t="s">
        <v>204</v>
      </c>
      <c r="F9" s="162">
        <f>Dat_01!G98/1000000</f>
        <v>62.535784808970007</v>
      </c>
      <c r="G9" s="162">
        <f>Dat_01!C98/1000000</f>
        <v>91.241653814749995</v>
      </c>
      <c r="H9" s="61"/>
      <c r="I9" s="156"/>
      <c r="J9" s="61"/>
      <c r="K9" s="61"/>
    </row>
    <row r="10" spans="2:11" s="1" customFormat="1" ht="15" customHeight="1">
      <c r="B10" s="2"/>
      <c r="C10" s="245"/>
      <c r="D10" s="5"/>
      <c r="E10" s="161" t="s">
        <v>205</v>
      </c>
      <c r="F10" s="162">
        <f>Dat_01!G99/1000000</f>
        <v>64.851924987079997</v>
      </c>
      <c r="G10" s="162">
        <f>Dat_01!C99/1000000</f>
        <v>77.287047937200015</v>
      </c>
      <c r="H10" s="61"/>
      <c r="I10" s="156"/>
      <c r="J10" s="61"/>
      <c r="K10" s="61"/>
    </row>
    <row r="11" spans="2:11" s="1" customFormat="1" ht="15" customHeight="1">
      <c r="B11" s="2"/>
      <c r="C11" s="245"/>
      <c r="D11" s="5"/>
      <c r="E11" s="56" t="s">
        <v>45</v>
      </c>
      <c r="F11" s="163">
        <f>SUM(F9:F10)</f>
        <v>127.38770979605</v>
      </c>
      <c r="G11" s="163">
        <f>SUM(G9:G10)</f>
        <v>168.52870175195</v>
      </c>
      <c r="H11" s="61"/>
      <c r="I11" s="156"/>
      <c r="J11" s="61"/>
      <c r="K11" s="61"/>
    </row>
    <row r="12" spans="2:11" s="1" customFormat="1" ht="15" customHeight="1">
      <c r="B12" s="2"/>
      <c r="C12" s="245"/>
      <c r="D12" s="5"/>
      <c r="E12" s="56" t="s">
        <v>21</v>
      </c>
      <c r="F12" s="163">
        <f>Dat_01!G101/1000000</f>
        <v>52.007874908469987</v>
      </c>
      <c r="G12" s="163">
        <f>Dat_01!C101/1000000</f>
        <v>94.461947478799999</v>
      </c>
      <c r="H12" s="61"/>
      <c r="I12" s="156"/>
      <c r="J12" s="61"/>
      <c r="K12" s="61"/>
    </row>
    <row r="13" spans="2:11" s="1" customFormat="1" ht="15" customHeight="1">
      <c r="B13" s="2"/>
      <c r="C13" s="4"/>
      <c r="D13" s="5"/>
      <c r="E13" s="56" t="s">
        <v>15</v>
      </c>
      <c r="F13" s="163">
        <f>IF(Dat_01!G102="-",0,Dat_01!G102/1000000)</f>
        <v>8.422327920399999</v>
      </c>
      <c r="G13" s="163">
        <f>Dat_01!C102/1000000</f>
        <v>14.598664610360002</v>
      </c>
      <c r="H13" s="61"/>
      <c r="I13" s="156"/>
      <c r="J13" s="61"/>
      <c r="K13" s="61"/>
    </row>
    <row r="14" spans="2:11" s="1" customFormat="1" ht="15" customHeight="1">
      <c r="B14" s="2"/>
      <c r="C14" s="4"/>
      <c r="D14" s="5"/>
      <c r="E14" s="56" t="s">
        <v>188</v>
      </c>
      <c r="F14" s="163">
        <f>(SUM(Dat_01!G103:G105)+IF(Dat_01!G106="-",0,Dat_01!G106))/1000000</f>
        <v>-7.3942773691600001</v>
      </c>
      <c r="G14" s="163">
        <f>(SUM(Dat_01!C103:C105)+IF(Dat_01!C106="-",0,Dat_01!C106))/1000000</f>
        <v>-30.056074197800005</v>
      </c>
      <c r="H14" s="61"/>
      <c r="I14" s="156"/>
      <c r="J14" s="61"/>
      <c r="K14" s="61"/>
    </row>
    <row r="15" spans="2:11" s="1" customFormat="1" ht="15" customHeight="1">
      <c r="B15" s="2"/>
      <c r="C15" s="4"/>
      <c r="D15" s="5"/>
      <c r="E15" s="56" t="s">
        <v>46</v>
      </c>
      <c r="F15" s="164">
        <f>IF(Dat_01!G107="-","-",Dat_01!G107/1000000)</f>
        <v>-1.8950237820899998</v>
      </c>
      <c r="G15" s="164">
        <f>IF(Dat_01!C107="-","-",Dat_01!C107/1000000)</f>
        <v>-2.5762349312399997</v>
      </c>
      <c r="H15" s="61"/>
      <c r="I15" s="156"/>
      <c r="J15" s="61"/>
      <c r="K15" s="61"/>
    </row>
    <row r="16" spans="2:11" s="1" customFormat="1" ht="15" customHeight="1">
      <c r="B16" s="2"/>
      <c r="C16" s="4"/>
      <c r="D16" s="5"/>
      <c r="E16" s="57" t="s">
        <v>189</v>
      </c>
      <c r="F16" s="165">
        <f>SUM(F11:F15)</f>
        <v>178.52861147367</v>
      </c>
      <c r="G16" s="165">
        <f>SUM(G11:G15)</f>
        <v>244.95700471207002</v>
      </c>
      <c r="I16" s="98"/>
    </row>
    <row r="17" spans="2:10" s="1" customFormat="1" ht="15" customHeight="1">
      <c r="B17" s="2"/>
      <c r="C17" s="4"/>
      <c r="D17" s="4"/>
      <c r="E17" s="64" t="str">
        <f>"∆"&amp;MID(G8,1,4)&amp;"/"&amp;MID(F8,1,4)</f>
        <v>∆2025/2024</v>
      </c>
      <c r="F17" s="155"/>
      <c r="G17" s="65">
        <f>(G16-F16)/F16</f>
        <v>0.3720882198660751</v>
      </c>
      <c r="I17" s="4"/>
      <c r="J17" s="4"/>
    </row>
    <row r="18" spans="2:10" s="1" customFormat="1" ht="12.75" customHeight="1">
      <c r="B18" s="2"/>
      <c r="C18" s="4"/>
      <c r="D18" s="5"/>
      <c r="H18" s="55"/>
      <c r="I18" s="55"/>
    </row>
    <row r="19" spans="2:10" s="1" customFormat="1" ht="12.75" customHeight="1">
      <c r="B19" s="2"/>
      <c r="C19" s="4"/>
      <c r="D19" s="4"/>
      <c r="E19" s="248" t="s">
        <v>271</v>
      </c>
      <c r="F19" s="248"/>
      <c r="G19" s="248"/>
    </row>
    <row r="20" spans="2:10" s="1" customFormat="1" ht="12.75" customHeight="1">
      <c r="B20" s="2"/>
      <c r="C20" s="4"/>
      <c r="D20" s="4"/>
      <c r="E20" s="248"/>
      <c r="F20" s="248"/>
      <c r="G20" s="248"/>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J42" sqref="J4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31</v>
      </c>
      <c r="F2" s="10"/>
      <c r="G2" s="10"/>
      <c r="H2" s="10"/>
      <c r="I2" s="10"/>
    </row>
    <row r="3" spans="2:9" ht="15" customHeight="1">
      <c r="E3" s="18" t="str">
        <f>Indice!E3</f>
        <v>Enero 2025</v>
      </c>
      <c r="F3" s="11"/>
      <c r="G3" s="11"/>
      <c r="H3" s="11"/>
      <c r="I3" s="11"/>
    </row>
    <row r="4" spans="2:9" s="1" customFormat="1" ht="20.100000000000001" customHeight="1">
      <c r="C4" s="19" t="s">
        <v>30</v>
      </c>
    </row>
    <row r="5" spans="2:9" s="1" customFormat="1" ht="12.6" customHeight="1">
      <c r="B5" s="2"/>
      <c r="C5" s="3"/>
    </row>
    <row r="6" spans="2:9" s="1" customFormat="1" ht="13.35" customHeight="1">
      <c r="B6" s="2"/>
      <c r="C6" s="4"/>
      <c r="D6" s="5"/>
      <c r="E6" s="5"/>
    </row>
    <row r="7" spans="2:9" s="1" customFormat="1" ht="12.75" customHeight="1">
      <c r="B7" s="2"/>
      <c r="C7" s="245" t="s">
        <v>223</v>
      </c>
      <c r="D7" s="5"/>
      <c r="E7" s="12"/>
    </row>
    <row r="8" spans="2:9" s="1" customFormat="1" ht="12.75" customHeight="1">
      <c r="B8" s="2"/>
      <c r="C8" s="245"/>
      <c r="D8" s="5"/>
      <c r="E8" s="12"/>
    </row>
    <row r="9" spans="2:9" s="1" customFormat="1" ht="12.75" customHeight="1">
      <c r="B9" s="2"/>
      <c r="C9" s="245"/>
      <c r="D9" s="5"/>
      <c r="E9" s="12"/>
    </row>
    <row r="10" spans="2:9" s="1" customFormat="1" ht="12.75" customHeight="1">
      <c r="B10" s="2"/>
      <c r="C10" s="47" t="s">
        <v>47</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212</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4" zoomScale="98" zoomScaleNormal="98" workbookViewId="0">
      <selection activeCell="J42" sqref="J4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31</v>
      </c>
    </row>
    <row r="2" spans="2:38">
      <c r="L2" s="18" t="str">
        <f>Indice!E3</f>
        <v>Enero 2025</v>
      </c>
    </row>
    <row r="4" spans="2:38">
      <c r="B4" s="19" t="s">
        <v>30</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5" t="s">
        <v>35</v>
      </c>
      <c r="F7" s="32"/>
      <c r="G7" s="32"/>
      <c r="H7" s="33"/>
      <c r="I7" s="33"/>
      <c r="J7" s="33"/>
      <c r="K7" s="33"/>
      <c r="L7" s="33"/>
      <c r="M7" s="33"/>
      <c r="AC7" s="33"/>
      <c r="AD7" s="33"/>
      <c r="AE7" s="33"/>
      <c r="AF7" s="33"/>
      <c r="AG7" s="33"/>
      <c r="AH7" s="33"/>
      <c r="AI7" s="33"/>
      <c r="AJ7" s="33"/>
      <c r="AK7" s="33"/>
      <c r="AL7" s="33"/>
    </row>
    <row r="8" spans="2:38">
      <c r="B8" s="245"/>
      <c r="F8" s="32"/>
      <c r="G8" s="32"/>
      <c r="H8" s="33"/>
      <c r="I8" s="33"/>
      <c r="J8" s="33"/>
      <c r="K8" s="33"/>
      <c r="L8" s="33"/>
      <c r="M8" s="33"/>
      <c r="AC8" s="33"/>
      <c r="AD8" s="33"/>
      <c r="AE8" s="33"/>
      <c r="AF8" s="33"/>
      <c r="AG8" s="33"/>
      <c r="AH8" s="33"/>
      <c r="AI8" s="33"/>
      <c r="AJ8" s="33"/>
      <c r="AK8" s="33"/>
      <c r="AL8" s="33"/>
    </row>
    <row r="9" spans="2:38">
      <c r="B9" s="47" t="s">
        <v>48</v>
      </c>
      <c r="F9" s="32"/>
      <c r="G9" s="32"/>
    </row>
    <row r="10" spans="2:38">
      <c r="B10" s="245"/>
      <c r="F10" s="32"/>
      <c r="G10" s="32"/>
    </row>
    <row r="11" spans="2:38">
      <c r="B11" s="245"/>
      <c r="F11" s="32"/>
      <c r="G11" s="32"/>
    </row>
    <row r="12" spans="2:38" s="31" customFormat="1">
      <c r="B12" s="245"/>
      <c r="F12" s="32"/>
      <c r="G12" s="32"/>
    </row>
    <row r="13" spans="2:38">
      <c r="B13" s="245"/>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J42" sqref="J42"/>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31</v>
      </c>
    </row>
    <row r="2" spans="2:37">
      <c r="L2" s="18" t="str">
        <f>Indice!E3</f>
        <v>Enero 2025</v>
      </c>
    </row>
    <row r="4" spans="2:37">
      <c r="B4" s="19" t="s">
        <v>30</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5" t="s">
        <v>295</v>
      </c>
      <c r="F7" s="32"/>
      <c r="G7" s="32"/>
      <c r="H7" s="33"/>
      <c r="I7" s="33"/>
      <c r="J7" s="33"/>
      <c r="K7" s="33"/>
      <c r="L7" s="33"/>
      <c r="M7" s="33"/>
      <c r="AB7" s="33"/>
      <c r="AC7" s="33"/>
      <c r="AD7" s="33"/>
      <c r="AE7" s="33"/>
      <c r="AF7" s="33"/>
      <c r="AG7" s="33"/>
      <c r="AH7" s="33"/>
      <c r="AI7" s="33"/>
      <c r="AJ7" s="33"/>
      <c r="AK7" s="33"/>
    </row>
    <row r="8" spans="2:37">
      <c r="B8" s="245"/>
      <c r="F8" s="32"/>
      <c r="G8" s="32"/>
      <c r="H8" s="33"/>
      <c r="I8" s="33"/>
      <c r="J8" s="33"/>
      <c r="K8" s="33"/>
      <c r="L8" s="33"/>
      <c r="M8" s="33"/>
      <c r="AB8" s="33"/>
      <c r="AC8" s="33"/>
      <c r="AD8" s="33"/>
      <c r="AE8" s="33"/>
      <c r="AF8" s="33"/>
      <c r="AG8" s="33"/>
      <c r="AH8" s="33"/>
      <c r="AI8" s="33"/>
      <c r="AJ8" s="33"/>
      <c r="AK8" s="33"/>
    </row>
    <row r="9" spans="2:37">
      <c r="B9" s="47" t="s">
        <v>182</v>
      </c>
      <c r="F9" s="32"/>
      <c r="G9" s="32"/>
    </row>
    <row r="10" spans="2:37">
      <c r="B10" s="245"/>
      <c r="F10" s="32"/>
      <c r="G10" s="32"/>
    </row>
    <row r="11" spans="2:37" s="31" customFormat="1">
      <c r="B11" s="245"/>
      <c r="F11" s="32"/>
      <c r="G11" s="32"/>
    </row>
    <row r="12" spans="2:37">
      <c r="B12" s="245"/>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J38" sqref="J38"/>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31</v>
      </c>
    </row>
    <row r="2" spans="2:37">
      <c r="L2" s="18" t="str">
        <f>Indice!E3</f>
        <v>Enero 2025</v>
      </c>
    </row>
    <row r="4" spans="2:37">
      <c r="B4" s="19" t="s">
        <v>30</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5" t="s">
        <v>69</v>
      </c>
      <c r="F7" s="32"/>
      <c r="G7" s="32"/>
      <c r="H7" s="33"/>
      <c r="I7" s="33"/>
      <c r="J7" s="33"/>
      <c r="K7" s="33"/>
      <c r="L7" s="33"/>
      <c r="M7" s="33"/>
      <c r="AB7" s="33"/>
      <c r="AC7" s="33"/>
      <c r="AD7" s="33"/>
      <c r="AE7" s="33"/>
      <c r="AF7" s="33"/>
      <c r="AG7" s="33"/>
      <c r="AH7" s="33"/>
      <c r="AI7" s="33"/>
      <c r="AJ7" s="33"/>
      <c r="AK7" s="33"/>
    </row>
    <row r="8" spans="2:37">
      <c r="B8" s="245"/>
      <c r="F8" s="32"/>
      <c r="G8" s="32"/>
      <c r="H8" s="33"/>
      <c r="I8" s="33"/>
      <c r="J8" s="33"/>
      <c r="K8" s="33"/>
      <c r="L8" s="33"/>
      <c r="M8" s="33"/>
      <c r="AB8" s="33"/>
      <c r="AC8" s="33"/>
      <c r="AD8" s="33"/>
      <c r="AE8" s="33"/>
      <c r="AF8" s="33"/>
      <c r="AG8" s="33"/>
      <c r="AH8" s="33"/>
      <c r="AI8" s="33"/>
      <c r="AJ8" s="33"/>
      <c r="AK8" s="33"/>
    </row>
    <row r="9" spans="2:37">
      <c r="B9" s="47" t="s">
        <v>48</v>
      </c>
      <c r="F9" s="32"/>
      <c r="G9" s="32"/>
    </row>
    <row r="10" spans="2:37">
      <c r="B10" s="245"/>
      <c r="F10" s="32"/>
      <c r="G10" s="32"/>
    </row>
    <row r="11" spans="2:37" s="31" customFormat="1">
      <c r="B11" s="245"/>
      <c r="F11" s="32"/>
      <c r="G11" s="32"/>
    </row>
    <row r="12" spans="2:37">
      <c r="B12" s="245"/>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Q15" sqref="Q14:Q15"/>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Enero 2025</v>
      </c>
    </row>
    <row r="4" spans="2:38">
      <c r="B4" s="19" t="s">
        <v>30</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48</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5"/>
      <c r="F10" s="32"/>
      <c r="G10" s="32"/>
    </row>
    <row r="11" spans="2:38" s="31" customFormat="1" ht="12.75" customHeight="1">
      <c r="B11" s="245"/>
      <c r="F11" s="32"/>
      <c r="G11" s="32"/>
    </row>
    <row r="12" spans="2:38" ht="12.75" customHeight="1">
      <c r="B12" s="245"/>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P23" sqref="P23"/>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Enero 2025</v>
      </c>
    </row>
    <row r="4" spans="2:38">
      <c r="B4" s="19" t="s">
        <v>30</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5" t="s">
        <v>199</v>
      </c>
      <c r="F7" s="32"/>
      <c r="G7" s="32"/>
      <c r="H7" s="33"/>
      <c r="I7" s="33"/>
      <c r="J7" s="33"/>
      <c r="K7" s="33"/>
      <c r="L7" s="33"/>
      <c r="M7" s="33"/>
      <c r="AC7" s="33"/>
      <c r="AD7" s="33"/>
      <c r="AE7" s="33"/>
      <c r="AF7" s="33"/>
      <c r="AG7" s="33"/>
      <c r="AH7" s="33"/>
      <c r="AI7" s="33"/>
      <c r="AJ7" s="33"/>
      <c r="AK7" s="33"/>
      <c r="AL7" s="33"/>
    </row>
    <row r="8" spans="2:38">
      <c r="B8" s="245"/>
      <c r="F8" s="32"/>
      <c r="G8" s="32"/>
      <c r="H8" s="33"/>
      <c r="I8" s="33"/>
      <c r="J8" s="33"/>
      <c r="K8" s="33"/>
      <c r="L8" s="33"/>
      <c r="M8" s="33"/>
      <c r="AC8" s="33"/>
      <c r="AD8" s="33"/>
      <c r="AE8" s="33"/>
      <c r="AF8" s="33"/>
      <c r="AG8" s="33"/>
      <c r="AH8" s="33"/>
      <c r="AI8" s="33"/>
      <c r="AJ8" s="33"/>
      <c r="AK8" s="33"/>
      <c r="AL8" s="33"/>
    </row>
    <row r="9" spans="2:38" ht="12.75" customHeight="1">
      <c r="B9" s="47" t="s">
        <v>48</v>
      </c>
      <c r="F9" s="32"/>
      <c r="G9" s="32"/>
    </row>
    <row r="10" spans="2:38" ht="12.75" customHeight="1">
      <c r="B10" s="245"/>
      <c r="F10" s="32"/>
      <c r="G10" s="32"/>
    </row>
    <row r="11" spans="2:38" s="31" customFormat="1" ht="12.75" customHeight="1">
      <c r="B11" s="245"/>
      <c r="F11" s="32"/>
      <c r="G11" s="32"/>
    </row>
    <row r="12" spans="2:38" ht="12.75" customHeight="1">
      <c r="B12" s="245"/>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48" t="s">
        <v>203</v>
      </c>
      <c r="D41" s="248"/>
      <c r="E41" s="248"/>
      <c r="F41" s="248"/>
      <c r="G41" s="248"/>
      <c r="H41" s="248"/>
      <c r="I41" s="248"/>
      <c r="J41" s="248"/>
      <c r="K41" s="248"/>
      <c r="L41" s="248"/>
      <c r="N41" s="68"/>
      <c r="Z41" s="68"/>
      <c r="AA41" s="68"/>
      <c r="AB41" s="73"/>
    </row>
    <row r="42" spans="1:28" ht="15">
      <c r="C42" s="248"/>
      <c r="D42" s="248"/>
      <c r="E42" s="248"/>
      <c r="F42" s="248"/>
      <c r="G42" s="248"/>
      <c r="H42" s="248"/>
      <c r="I42" s="248"/>
      <c r="J42" s="248"/>
      <c r="K42" s="248"/>
      <c r="L42" s="248"/>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9" zoomScaleNormal="100" workbookViewId="0">
      <selection activeCell="O21" sqref="O21"/>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31</v>
      </c>
    </row>
    <row r="2" spans="2:37">
      <c r="L2" s="18" t="str">
        <f>Indice!E3</f>
        <v>Enero 2025</v>
      </c>
    </row>
    <row r="4" spans="2:37">
      <c r="B4" s="19" t="s">
        <v>30</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5" t="s">
        <v>200</v>
      </c>
      <c r="F7" s="32"/>
      <c r="G7" s="32"/>
      <c r="H7" s="33"/>
      <c r="I7" s="33"/>
      <c r="J7" s="33"/>
      <c r="K7" s="33"/>
      <c r="L7" s="33"/>
      <c r="M7" s="33"/>
      <c r="AB7" s="33"/>
      <c r="AC7" s="33"/>
      <c r="AD7" s="33"/>
      <c r="AE7" s="33"/>
      <c r="AF7" s="33"/>
      <c r="AG7" s="33"/>
      <c r="AH7" s="33"/>
      <c r="AI7" s="33"/>
      <c r="AJ7" s="33"/>
      <c r="AK7" s="33"/>
    </row>
    <row r="8" spans="2:37">
      <c r="B8" s="245"/>
      <c r="F8" s="32"/>
      <c r="G8" s="32"/>
      <c r="H8" s="33"/>
      <c r="I8" s="33"/>
      <c r="J8" s="33"/>
      <c r="K8" s="33"/>
      <c r="L8" s="33"/>
      <c r="M8" s="33"/>
      <c r="AB8" s="33"/>
      <c r="AC8" s="33"/>
      <c r="AD8" s="33"/>
      <c r="AE8" s="33"/>
      <c r="AF8" s="33"/>
      <c r="AG8" s="33"/>
      <c r="AH8" s="33"/>
      <c r="AI8" s="33"/>
      <c r="AJ8" s="33"/>
      <c r="AK8" s="33"/>
    </row>
    <row r="9" spans="2:37">
      <c r="B9" s="245"/>
      <c r="F9" s="32"/>
      <c r="G9" s="32"/>
    </row>
    <row r="10" spans="2:37" ht="16.5" customHeight="1">
      <c r="B10" s="245"/>
      <c r="F10" s="32"/>
      <c r="G10" s="32"/>
    </row>
    <row r="11" spans="2:37" s="31" customFormat="1">
      <c r="B11" s="47" t="s">
        <v>198</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Q27" sqref="Q27"/>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31</v>
      </c>
    </row>
    <row r="2" spans="2:38">
      <c r="L2" s="18" t="str">
        <f>Indice!E3</f>
        <v>Enero 2025</v>
      </c>
    </row>
    <row r="4" spans="2:38">
      <c r="B4" s="19" t="s">
        <v>30</v>
      </c>
      <c r="P4" s="67"/>
      <c r="Q4" s="67"/>
      <c r="R4" s="67"/>
      <c r="S4" s="67"/>
      <c r="T4" s="67"/>
      <c r="U4" s="67"/>
      <c r="V4" s="67"/>
      <c r="W4" s="67"/>
      <c r="X4" s="67"/>
      <c r="Y4" s="67"/>
      <c r="Z4" s="67"/>
      <c r="AA4" s="67"/>
    </row>
    <row r="5" spans="2:38" s="31" customFormat="1"/>
    <row r="6" spans="2:38" s="31" customFormat="1"/>
    <row r="7" spans="2:38" ht="12.75" customHeight="1">
      <c r="B7" s="245" t="s">
        <v>24</v>
      </c>
      <c r="F7" s="32"/>
      <c r="G7" s="32"/>
      <c r="H7" s="33"/>
      <c r="I7" s="33"/>
      <c r="J7" s="33"/>
      <c r="K7" s="33"/>
      <c r="L7" s="33"/>
      <c r="M7" s="33"/>
      <c r="AC7" s="33"/>
      <c r="AD7" s="33"/>
      <c r="AE7" s="33"/>
      <c r="AF7" s="33"/>
      <c r="AG7" s="33"/>
      <c r="AH7" s="33"/>
      <c r="AI7" s="33"/>
      <c r="AJ7" s="33"/>
      <c r="AK7" s="33"/>
      <c r="AL7" s="33"/>
    </row>
    <row r="8" spans="2:38">
      <c r="B8" s="245"/>
      <c r="F8" s="32"/>
      <c r="G8" s="32"/>
      <c r="H8" s="33"/>
      <c r="I8" s="33"/>
      <c r="J8" s="33"/>
      <c r="K8" s="33"/>
      <c r="L8" s="33"/>
      <c r="M8" s="33"/>
      <c r="AC8" s="33"/>
      <c r="AD8" s="33"/>
      <c r="AE8" s="33"/>
      <c r="AF8" s="33"/>
      <c r="AG8" s="33"/>
      <c r="AH8" s="33"/>
      <c r="AI8" s="33"/>
      <c r="AJ8" s="33"/>
      <c r="AK8" s="33"/>
      <c r="AL8" s="33"/>
    </row>
    <row r="9" spans="2:38" ht="12.75" customHeight="1">
      <c r="B9" s="47" t="s">
        <v>48</v>
      </c>
      <c r="F9" s="32"/>
      <c r="G9" s="32"/>
    </row>
    <row r="10" spans="2:38" ht="12.75" customHeight="1">
      <c r="B10" s="245"/>
      <c r="F10" s="32"/>
      <c r="G10" s="32"/>
    </row>
    <row r="11" spans="2:38" s="31" customFormat="1" ht="12.75" customHeight="1">
      <c r="B11" s="245"/>
      <c r="F11" s="32"/>
      <c r="G11" s="32"/>
    </row>
    <row r="12" spans="2:38" ht="12.75" customHeight="1">
      <c r="B12" s="245"/>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abSelected="1" topLeftCell="Z1" zoomScale="88" zoomScaleNormal="136" workbookViewId="0">
      <selection activeCell="AP13" sqref="AP13"/>
    </sheetView>
  </sheetViews>
  <sheetFormatPr baseColWidth="10" defaultColWidth="16.28515625" defaultRowHeight="12.75"/>
  <cols>
    <col min="1" max="15" width="19.28515625" customWidth="1"/>
    <col min="16" max="16" width="9" bestFit="1" customWidth="1"/>
  </cols>
  <sheetData>
    <row r="1" spans="1:43" ht="14.25">
      <c r="A1" s="119" t="s">
        <v>129</v>
      </c>
    </row>
    <row r="2" spans="1:43" ht="14.25">
      <c r="A2" s="135" t="str">
        <f>MID(B5,6,LEN(B5))&amp;" "&amp;MID(B5,1,4)</f>
        <v>Enero 2025</v>
      </c>
      <c r="D2" s="66"/>
    </row>
    <row r="4" spans="1:43">
      <c r="A4" s="240" t="s">
        <v>27</v>
      </c>
      <c r="B4" s="251" t="s">
        <v>94</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row>
    <row r="5" spans="1:43">
      <c r="A5" s="240" t="s">
        <v>93</v>
      </c>
      <c r="B5" s="266" t="s">
        <v>331</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row>
    <row r="6" spans="1:43">
      <c r="A6" s="240" t="s">
        <v>121</v>
      </c>
      <c r="B6" s="174" t="s">
        <v>97</v>
      </c>
      <c r="C6" s="174" t="s">
        <v>98</v>
      </c>
      <c r="D6" s="174" t="s">
        <v>99</v>
      </c>
      <c r="E6" s="174" t="s">
        <v>100</v>
      </c>
      <c r="F6" s="174" t="s">
        <v>101</v>
      </c>
      <c r="G6" s="174" t="s">
        <v>102</v>
      </c>
      <c r="H6" s="174" t="s">
        <v>103</v>
      </c>
      <c r="I6" s="174" t="s">
        <v>104</v>
      </c>
      <c r="J6" s="174" t="s">
        <v>105</v>
      </c>
      <c r="K6" s="174" t="s">
        <v>106</v>
      </c>
      <c r="L6" s="174" t="s">
        <v>107</v>
      </c>
      <c r="M6" s="174" t="s">
        <v>108</v>
      </c>
      <c r="N6" s="174" t="s">
        <v>109</v>
      </c>
      <c r="O6" s="174" t="s">
        <v>110</v>
      </c>
      <c r="P6" s="174" t="s">
        <v>111</v>
      </c>
      <c r="Q6" s="174" t="s">
        <v>112</v>
      </c>
      <c r="R6" s="174" t="s">
        <v>113</v>
      </c>
      <c r="S6" s="174" t="s">
        <v>114</v>
      </c>
      <c r="T6" s="174" t="s">
        <v>115</v>
      </c>
      <c r="U6" s="174" t="s">
        <v>116</v>
      </c>
      <c r="V6" s="174" t="s">
        <v>117</v>
      </c>
      <c r="W6" s="174" t="s">
        <v>118</v>
      </c>
      <c r="X6" s="174" t="s">
        <v>119</v>
      </c>
      <c r="Y6" s="174" t="s">
        <v>120</v>
      </c>
      <c r="Z6" s="238"/>
      <c r="AA6" s="238" t="s">
        <v>95</v>
      </c>
      <c r="AB6" s="238" t="s">
        <v>96</v>
      </c>
      <c r="AC6" s="238" t="s">
        <v>248</v>
      </c>
    </row>
    <row r="7" spans="1:43">
      <c r="A7" s="240" t="s">
        <v>175</v>
      </c>
      <c r="B7" s="237"/>
      <c r="C7" s="237"/>
      <c r="D7" s="237"/>
      <c r="E7" s="237"/>
      <c r="F7" s="237"/>
      <c r="G7" s="237"/>
      <c r="H7" s="237"/>
      <c r="I7" s="237"/>
      <c r="J7" s="237"/>
      <c r="K7" s="237"/>
      <c r="L7" s="237"/>
      <c r="M7" s="237"/>
      <c r="N7" s="237"/>
      <c r="O7" s="237"/>
      <c r="P7" s="237"/>
      <c r="Q7" s="237"/>
      <c r="R7" s="237"/>
      <c r="S7" s="237"/>
      <c r="T7" s="237"/>
      <c r="U7" s="237"/>
      <c r="V7" s="237"/>
      <c r="W7" s="237"/>
      <c r="X7" s="237"/>
      <c r="Y7" s="237"/>
      <c r="Z7" s="239"/>
      <c r="AA7" s="239"/>
      <c r="AB7" s="239"/>
      <c r="AC7" s="239"/>
      <c r="AD7" t="s">
        <v>222</v>
      </c>
      <c r="AG7" t="s">
        <v>231</v>
      </c>
      <c r="AI7" t="s">
        <v>232</v>
      </c>
      <c r="AK7" t="s">
        <v>235</v>
      </c>
      <c r="AM7" t="s">
        <v>236</v>
      </c>
    </row>
    <row r="8" spans="1:43">
      <c r="A8" s="235" t="s">
        <v>300</v>
      </c>
      <c r="B8" s="225">
        <v>134.49</v>
      </c>
      <c r="C8" s="225">
        <v>131.59</v>
      </c>
      <c r="D8" s="225">
        <v>131.49</v>
      </c>
      <c r="E8" s="225">
        <v>131.41999999999999</v>
      </c>
      <c r="F8" s="225">
        <v>120.49</v>
      </c>
      <c r="G8" s="225">
        <v>112.3</v>
      </c>
      <c r="H8" s="225">
        <v>112.3</v>
      </c>
      <c r="I8" s="225">
        <v>111.88</v>
      </c>
      <c r="J8" s="225">
        <v>112.09</v>
      </c>
      <c r="K8" s="225">
        <v>94.99</v>
      </c>
      <c r="L8" s="223">
        <v>35</v>
      </c>
      <c r="M8" s="226">
        <v>20.59</v>
      </c>
      <c r="N8" s="223">
        <v>28.11</v>
      </c>
      <c r="O8" s="223">
        <v>30</v>
      </c>
      <c r="P8" s="226">
        <v>21.5</v>
      </c>
      <c r="Q8" s="226">
        <v>10.68</v>
      </c>
      <c r="R8" s="225">
        <v>72</v>
      </c>
      <c r="S8" s="225">
        <v>125.49</v>
      </c>
      <c r="T8" s="225">
        <v>149.72</v>
      </c>
      <c r="U8" s="225">
        <v>150.66999999999999</v>
      </c>
      <c r="V8" s="225">
        <v>152.99</v>
      </c>
      <c r="W8" s="225">
        <v>151.69</v>
      </c>
      <c r="X8" s="225">
        <v>147.75</v>
      </c>
      <c r="Y8" s="225">
        <v>133.06</v>
      </c>
      <c r="Z8" s="228"/>
      <c r="AA8" s="228">
        <v>10.68</v>
      </c>
      <c r="AB8" s="228">
        <v>152.99</v>
      </c>
      <c r="AC8" s="228">
        <v>94.381288088199994</v>
      </c>
      <c r="AD8" s="189">
        <v>96.689838709677403</v>
      </c>
      <c r="AE8" s="203"/>
      <c r="AF8" s="201"/>
      <c r="AG8" s="197">
        <v>74.100094086021571</v>
      </c>
      <c r="AI8" s="201">
        <f>AD8/AG8-1</f>
        <v>0.30485446614186174</v>
      </c>
      <c r="AK8" s="197">
        <v>111.23778225806448</v>
      </c>
      <c r="AM8" s="201">
        <f>AD8/AK8-1</f>
        <v>-0.13078239473200559</v>
      </c>
      <c r="AQ8" s="140">
        <v>1</v>
      </c>
    </row>
    <row r="9" spans="1:43">
      <c r="A9" s="235" t="s">
        <v>301</v>
      </c>
      <c r="B9" s="225">
        <v>137.12</v>
      </c>
      <c r="C9" s="225">
        <v>123.03</v>
      </c>
      <c r="D9" s="225">
        <v>100.2</v>
      </c>
      <c r="E9" s="225">
        <v>99.82</v>
      </c>
      <c r="F9" s="225">
        <v>99.82</v>
      </c>
      <c r="G9" s="225">
        <v>100.08</v>
      </c>
      <c r="H9" s="225">
        <v>128.44</v>
      </c>
      <c r="I9" s="225">
        <v>143.96</v>
      </c>
      <c r="J9" s="225">
        <v>152.91999999999999</v>
      </c>
      <c r="K9" s="225">
        <v>152.16</v>
      </c>
      <c r="L9" s="225">
        <v>129.04</v>
      </c>
      <c r="M9" s="225">
        <v>125.7</v>
      </c>
      <c r="N9" s="225">
        <v>125.72</v>
      </c>
      <c r="O9" s="225">
        <v>119.3</v>
      </c>
      <c r="P9" s="225">
        <v>124.65</v>
      </c>
      <c r="Q9" s="225">
        <v>130.11000000000001</v>
      </c>
      <c r="R9" s="225">
        <v>139.5</v>
      </c>
      <c r="S9" s="225">
        <v>153.4</v>
      </c>
      <c r="T9" s="225">
        <v>159.18</v>
      </c>
      <c r="U9" s="225">
        <v>160.99</v>
      </c>
      <c r="V9" s="225">
        <v>161.1</v>
      </c>
      <c r="W9" s="225">
        <v>157.88</v>
      </c>
      <c r="X9" s="225">
        <v>152.44</v>
      </c>
      <c r="Y9" s="225">
        <v>140</v>
      </c>
      <c r="Z9" s="228"/>
      <c r="AA9" s="228">
        <v>99.82</v>
      </c>
      <c r="AB9" s="228">
        <v>161.1</v>
      </c>
      <c r="AC9" s="228">
        <v>136.43406334650001</v>
      </c>
      <c r="AD9" s="66"/>
      <c r="AQ9" s="140">
        <v>2</v>
      </c>
    </row>
    <row r="10" spans="1:43">
      <c r="A10" s="235" t="s">
        <v>302</v>
      </c>
      <c r="B10" s="225">
        <v>121.52</v>
      </c>
      <c r="C10" s="225">
        <v>104.9</v>
      </c>
      <c r="D10" s="225">
        <v>93.94</v>
      </c>
      <c r="E10" s="225">
        <v>91.1</v>
      </c>
      <c r="F10" s="225">
        <v>88.46</v>
      </c>
      <c r="G10" s="225">
        <v>92.25</v>
      </c>
      <c r="H10" s="225">
        <v>100.14</v>
      </c>
      <c r="I10" s="225">
        <v>126</v>
      </c>
      <c r="J10" s="225">
        <v>141.19999999999999</v>
      </c>
      <c r="K10" s="225">
        <v>138</v>
      </c>
      <c r="L10" s="225">
        <v>130.52000000000001</v>
      </c>
      <c r="M10" s="225">
        <v>123.2</v>
      </c>
      <c r="N10" s="225">
        <v>113.51</v>
      </c>
      <c r="O10" s="225">
        <v>107.6</v>
      </c>
      <c r="P10" s="225">
        <v>105.88</v>
      </c>
      <c r="Q10" s="225">
        <v>110.22</v>
      </c>
      <c r="R10" s="225">
        <v>123.2</v>
      </c>
      <c r="S10" s="225">
        <v>141.19999999999999</v>
      </c>
      <c r="T10" s="225">
        <v>149.62</v>
      </c>
      <c r="U10" s="225">
        <v>151.25</v>
      </c>
      <c r="V10" s="225">
        <v>151.25</v>
      </c>
      <c r="W10" s="225">
        <v>149.12</v>
      </c>
      <c r="X10" s="225">
        <v>145.58000000000001</v>
      </c>
      <c r="Y10" s="225">
        <v>136.41999999999999</v>
      </c>
      <c r="Z10" s="228"/>
      <c r="AA10" s="228">
        <v>88.46</v>
      </c>
      <c r="AB10" s="228">
        <v>151.25</v>
      </c>
      <c r="AC10" s="228">
        <v>123.8818572732</v>
      </c>
      <c r="AQ10" s="140">
        <v>3</v>
      </c>
    </row>
    <row r="11" spans="1:43">
      <c r="A11" s="235" t="s">
        <v>303</v>
      </c>
      <c r="B11" s="225">
        <v>109.06</v>
      </c>
      <c r="C11" s="225">
        <v>101</v>
      </c>
      <c r="D11" s="225">
        <v>95.53</v>
      </c>
      <c r="E11" s="225">
        <v>94.33</v>
      </c>
      <c r="F11" s="225">
        <v>96.62</v>
      </c>
      <c r="G11" s="225">
        <v>102.63</v>
      </c>
      <c r="H11" s="225">
        <v>110.89</v>
      </c>
      <c r="I11" s="225">
        <v>120.25</v>
      </c>
      <c r="J11" s="225">
        <v>128.38999999999999</v>
      </c>
      <c r="K11" s="225">
        <v>128.41</v>
      </c>
      <c r="L11" s="225">
        <v>118.99</v>
      </c>
      <c r="M11" s="225">
        <v>99</v>
      </c>
      <c r="N11" s="225">
        <v>82.52</v>
      </c>
      <c r="O11" s="225">
        <v>82.27</v>
      </c>
      <c r="P11" s="225">
        <v>88.22</v>
      </c>
      <c r="Q11" s="225">
        <v>97.35</v>
      </c>
      <c r="R11" s="225">
        <v>119.47</v>
      </c>
      <c r="S11" s="225">
        <v>134.63</v>
      </c>
      <c r="T11" s="225">
        <v>145</v>
      </c>
      <c r="U11" s="225">
        <v>139.72999999999999</v>
      </c>
      <c r="V11" s="225">
        <v>130.49</v>
      </c>
      <c r="W11" s="225">
        <v>123.82</v>
      </c>
      <c r="X11" s="225">
        <v>119.23</v>
      </c>
      <c r="Y11" s="225">
        <v>109.9</v>
      </c>
      <c r="Z11" s="228"/>
      <c r="AA11" s="228">
        <v>82.27</v>
      </c>
      <c r="AB11" s="228">
        <v>145</v>
      </c>
      <c r="AC11" s="228">
        <v>111.45130263350001</v>
      </c>
      <c r="AQ11" s="140">
        <v>4</v>
      </c>
    </row>
    <row r="12" spans="1:43">
      <c r="A12" s="235" t="s">
        <v>304</v>
      </c>
      <c r="B12" s="225">
        <v>101.77</v>
      </c>
      <c r="C12" s="225">
        <v>70.5</v>
      </c>
      <c r="D12" s="225">
        <v>64.81</v>
      </c>
      <c r="E12" s="225">
        <v>46.7</v>
      </c>
      <c r="F12" s="223">
        <v>43.87</v>
      </c>
      <c r="G12" s="223">
        <v>36.61</v>
      </c>
      <c r="H12" s="223">
        <v>34.04</v>
      </c>
      <c r="I12" s="223">
        <v>44</v>
      </c>
      <c r="J12" s="225">
        <v>51.27</v>
      </c>
      <c r="K12" s="225">
        <v>50</v>
      </c>
      <c r="L12" s="225">
        <v>49.81</v>
      </c>
      <c r="M12" s="223">
        <v>43.05</v>
      </c>
      <c r="N12" s="225">
        <v>45.74</v>
      </c>
      <c r="O12" s="223">
        <v>35.19</v>
      </c>
      <c r="P12" s="223">
        <v>30</v>
      </c>
      <c r="Q12" s="223">
        <v>28</v>
      </c>
      <c r="R12" s="223">
        <v>35.22</v>
      </c>
      <c r="S12" s="225">
        <v>57.72</v>
      </c>
      <c r="T12" s="225">
        <v>64.81</v>
      </c>
      <c r="U12" s="225">
        <v>64.81</v>
      </c>
      <c r="V12" s="225">
        <v>65.2</v>
      </c>
      <c r="W12" s="225">
        <v>68.5</v>
      </c>
      <c r="X12" s="225">
        <v>60</v>
      </c>
      <c r="Y12" s="223">
        <v>43.01</v>
      </c>
      <c r="Z12" s="228"/>
      <c r="AA12" s="228">
        <v>28</v>
      </c>
      <c r="AB12" s="228">
        <v>101.77</v>
      </c>
      <c r="AC12" s="228">
        <v>50.240852177299999</v>
      </c>
      <c r="AQ12" s="140">
        <v>5</v>
      </c>
    </row>
    <row r="13" spans="1:43">
      <c r="A13" s="235" t="s">
        <v>305</v>
      </c>
      <c r="B13" s="226">
        <v>13.28</v>
      </c>
      <c r="C13" s="226">
        <v>8.35</v>
      </c>
      <c r="D13" s="226">
        <v>5.23</v>
      </c>
      <c r="E13" s="226">
        <v>3.52</v>
      </c>
      <c r="F13" s="226">
        <v>3.52</v>
      </c>
      <c r="G13" s="226">
        <v>5.61</v>
      </c>
      <c r="H13" s="226">
        <v>11.27</v>
      </c>
      <c r="I13" s="223">
        <v>37</v>
      </c>
      <c r="J13" s="225">
        <v>58.15</v>
      </c>
      <c r="K13" s="225">
        <v>51.15</v>
      </c>
      <c r="L13" s="223">
        <v>40.81</v>
      </c>
      <c r="M13" s="223">
        <v>32.83</v>
      </c>
      <c r="N13" s="223">
        <v>31.28</v>
      </c>
      <c r="O13" s="226">
        <v>22.99</v>
      </c>
      <c r="P13" s="226">
        <v>14</v>
      </c>
      <c r="Q13" s="226">
        <v>14</v>
      </c>
      <c r="R13" s="223">
        <v>38.49</v>
      </c>
      <c r="S13" s="225">
        <v>67.5</v>
      </c>
      <c r="T13" s="225">
        <v>91.4</v>
      </c>
      <c r="U13" s="225">
        <v>110</v>
      </c>
      <c r="V13" s="225">
        <v>116.2</v>
      </c>
      <c r="W13" s="225">
        <v>117.78</v>
      </c>
      <c r="X13" s="225">
        <v>105.93</v>
      </c>
      <c r="Y13" s="225">
        <v>90</v>
      </c>
      <c r="Z13" s="228"/>
      <c r="AA13" s="228">
        <v>3.52</v>
      </c>
      <c r="AB13" s="228">
        <v>117.78</v>
      </c>
      <c r="AC13" s="228">
        <v>43.4571003852</v>
      </c>
      <c r="AQ13" s="140">
        <v>6</v>
      </c>
    </row>
    <row r="14" spans="1:43">
      <c r="A14" s="235" t="s">
        <v>306</v>
      </c>
      <c r="B14" s="225">
        <v>64.069999999999993</v>
      </c>
      <c r="C14" s="225">
        <v>60</v>
      </c>
      <c r="D14" s="225">
        <v>49.9</v>
      </c>
      <c r="E14" s="223">
        <v>38.409999999999997</v>
      </c>
      <c r="F14" s="226">
        <v>19.2</v>
      </c>
      <c r="G14" s="223">
        <v>38.700000000000003</v>
      </c>
      <c r="H14" s="225">
        <v>60.08</v>
      </c>
      <c r="I14" s="225">
        <v>97.56</v>
      </c>
      <c r="J14" s="225">
        <v>115</v>
      </c>
      <c r="K14" s="225">
        <v>105.18</v>
      </c>
      <c r="L14" s="225">
        <v>93.49</v>
      </c>
      <c r="M14" s="225">
        <v>74.930000000000007</v>
      </c>
      <c r="N14" s="225">
        <v>71.25</v>
      </c>
      <c r="O14" s="225">
        <v>71.62</v>
      </c>
      <c r="P14" s="225">
        <v>72.569999999999993</v>
      </c>
      <c r="Q14" s="225">
        <v>85</v>
      </c>
      <c r="R14" s="225">
        <v>100.64</v>
      </c>
      <c r="S14" s="225">
        <v>118.34</v>
      </c>
      <c r="T14" s="225">
        <v>128.87</v>
      </c>
      <c r="U14" s="225">
        <v>125</v>
      </c>
      <c r="V14" s="225">
        <v>113.97</v>
      </c>
      <c r="W14" s="225">
        <v>110.76</v>
      </c>
      <c r="X14" s="225">
        <v>98.53</v>
      </c>
      <c r="Y14" s="225">
        <v>89.27</v>
      </c>
      <c r="Z14" s="228"/>
      <c r="AA14" s="228">
        <v>19.2</v>
      </c>
      <c r="AB14" s="228">
        <v>128.87</v>
      </c>
      <c r="AC14" s="228">
        <v>83.296381141500007</v>
      </c>
      <c r="AQ14" s="140">
        <v>7</v>
      </c>
    </row>
    <row r="15" spans="1:43">
      <c r="A15" s="235" t="s">
        <v>307</v>
      </c>
      <c r="B15" s="225">
        <v>74.23</v>
      </c>
      <c r="C15" s="225">
        <v>69.5</v>
      </c>
      <c r="D15" s="225">
        <v>59.97</v>
      </c>
      <c r="E15" s="225">
        <v>53</v>
      </c>
      <c r="F15" s="225">
        <v>59.52</v>
      </c>
      <c r="G15" s="225">
        <v>70.2</v>
      </c>
      <c r="H15" s="225">
        <v>97.41</v>
      </c>
      <c r="I15" s="225">
        <v>124.39</v>
      </c>
      <c r="J15" s="225">
        <v>135.01</v>
      </c>
      <c r="K15" s="225">
        <v>130.01</v>
      </c>
      <c r="L15" s="225">
        <v>108.8</v>
      </c>
      <c r="M15" s="225">
        <v>104.46</v>
      </c>
      <c r="N15" s="225">
        <v>97.57</v>
      </c>
      <c r="O15" s="225">
        <v>90.79</v>
      </c>
      <c r="P15" s="225">
        <v>88.81</v>
      </c>
      <c r="Q15" s="225">
        <v>90.01</v>
      </c>
      <c r="R15" s="225">
        <v>105.48</v>
      </c>
      <c r="S15" s="225">
        <v>113.75</v>
      </c>
      <c r="T15" s="225">
        <v>122</v>
      </c>
      <c r="U15" s="225">
        <v>131</v>
      </c>
      <c r="V15" s="225">
        <v>124.81</v>
      </c>
      <c r="W15" s="225">
        <v>112.66</v>
      </c>
      <c r="X15" s="225">
        <v>111.9</v>
      </c>
      <c r="Y15" s="225">
        <v>98.77</v>
      </c>
      <c r="Z15" s="228"/>
      <c r="AA15" s="228">
        <v>53</v>
      </c>
      <c r="AB15" s="228">
        <v>135.01</v>
      </c>
      <c r="AC15" s="228">
        <v>99.898527562699996</v>
      </c>
      <c r="AQ15" s="140">
        <v>8</v>
      </c>
    </row>
    <row r="16" spans="1:43">
      <c r="A16" s="235" t="s">
        <v>308</v>
      </c>
      <c r="B16" s="225">
        <v>60.38</v>
      </c>
      <c r="C16" s="225">
        <v>49.9</v>
      </c>
      <c r="D16" s="223">
        <v>40.520000000000003</v>
      </c>
      <c r="E16" s="223">
        <v>25.61</v>
      </c>
      <c r="F16" s="226">
        <v>13.01</v>
      </c>
      <c r="G16" s="223">
        <v>30.29</v>
      </c>
      <c r="H16" s="225">
        <v>60.08</v>
      </c>
      <c r="I16" s="225">
        <v>90.79</v>
      </c>
      <c r="J16" s="225">
        <v>100.99</v>
      </c>
      <c r="K16" s="225">
        <v>102.44</v>
      </c>
      <c r="L16" s="225">
        <v>97.45</v>
      </c>
      <c r="M16" s="225">
        <v>90.41</v>
      </c>
      <c r="N16" s="225">
        <v>88.34</v>
      </c>
      <c r="O16" s="225">
        <v>79.900000000000006</v>
      </c>
      <c r="P16" s="225">
        <v>79.05</v>
      </c>
      <c r="Q16" s="225">
        <v>85.09</v>
      </c>
      <c r="R16" s="225">
        <v>109.4</v>
      </c>
      <c r="S16" s="225">
        <v>131.62</v>
      </c>
      <c r="T16" s="225">
        <v>135.72999999999999</v>
      </c>
      <c r="U16" s="225">
        <v>135.01</v>
      </c>
      <c r="V16" s="225">
        <v>141.27000000000001</v>
      </c>
      <c r="W16" s="225">
        <v>135.01</v>
      </c>
      <c r="X16" s="225">
        <v>114.38</v>
      </c>
      <c r="Y16" s="225">
        <v>101</v>
      </c>
      <c r="Z16" s="228"/>
      <c r="AA16" s="228">
        <v>13.01</v>
      </c>
      <c r="AB16" s="228">
        <v>141.27000000000001</v>
      </c>
      <c r="AC16" s="228">
        <v>86.473003535399997</v>
      </c>
      <c r="AQ16" s="140">
        <v>9</v>
      </c>
    </row>
    <row r="17" spans="1:43">
      <c r="A17" s="235" t="s">
        <v>309</v>
      </c>
      <c r="B17" s="225">
        <v>98.11</v>
      </c>
      <c r="C17" s="225">
        <v>80.25</v>
      </c>
      <c r="D17" s="225">
        <v>72.09</v>
      </c>
      <c r="E17" s="225">
        <v>69.94</v>
      </c>
      <c r="F17" s="225">
        <v>70.069999999999993</v>
      </c>
      <c r="G17" s="225">
        <v>85.06</v>
      </c>
      <c r="H17" s="225">
        <v>101.8</v>
      </c>
      <c r="I17" s="225">
        <v>126.12</v>
      </c>
      <c r="J17" s="225">
        <v>140.33000000000001</v>
      </c>
      <c r="K17" s="225">
        <v>137.22</v>
      </c>
      <c r="L17" s="225">
        <v>123.57</v>
      </c>
      <c r="M17" s="225">
        <v>113.59</v>
      </c>
      <c r="N17" s="225">
        <v>107.43</v>
      </c>
      <c r="O17" s="225">
        <v>105.01</v>
      </c>
      <c r="P17" s="225">
        <v>108.18</v>
      </c>
      <c r="Q17" s="225">
        <v>111.61</v>
      </c>
      <c r="R17" s="225">
        <v>118.76</v>
      </c>
      <c r="S17" s="225">
        <v>132.58000000000001</v>
      </c>
      <c r="T17" s="225">
        <v>144.28</v>
      </c>
      <c r="U17" s="225">
        <v>141.27000000000001</v>
      </c>
      <c r="V17" s="225">
        <v>134.83000000000001</v>
      </c>
      <c r="W17" s="225">
        <v>122.51</v>
      </c>
      <c r="X17" s="225">
        <v>119.79</v>
      </c>
      <c r="Y17" s="225">
        <v>112</v>
      </c>
      <c r="Z17" s="228"/>
      <c r="AA17" s="228">
        <v>69.94</v>
      </c>
      <c r="AB17" s="228">
        <v>144.28</v>
      </c>
      <c r="AC17" s="228">
        <v>112.619786924</v>
      </c>
      <c r="AQ17" s="140">
        <v>10</v>
      </c>
    </row>
    <row r="18" spans="1:43">
      <c r="A18" s="235" t="s">
        <v>310</v>
      </c>
      <c r="B18" s="225">
        <v>112</v>
      </c>
      <c r="C18" s="225">
        <v>100.61</v>
      </c>
      <c r="D18" s="225">
        <v>96.32</v>
      </c>
      <c r="E18" s="225">
        <v>84.49</v>
      </c>
      <c r="F18" s="225">
        <v>79.78</v>
      </c>
      <c r="G18" s="225">
        <v>84.1</v>
      </c>
      <c r="H18" s="225">
        <v>95.46</v>
      </c>
      <c r="I18" s="225">
        <v>84.9</v>
      </c>
      <c r="J18" s="225">
        <v>97</v>
      </c>
      <c r="K18" s="225">
        <v>105.53</v>
      </c>
      <c r="L18" s="225">
        <v>109.71</v>
      </c>
      <c r="M18" s="225">
        <v>87.14</v>
      </c>
      <c r="N18" s="225">
        <v>78.78</v>
      </c>
      <c r="O18" s="225">
        <v>70</v>
      </c>
      <c r="P18" s="225">
        <v>64.75</v>
      </c>
      <c r="Q18" s="225">
        <v>60.3</v>
      </c>
      <c r="R18" s="225">
        <v>78.91</v>
      </c>
      <c r="S18" s="225">
        <v>113.3</v>
      </c>
      <c r="T18" s="225">
        <v>118.87</v>
      </c>
      <c r="U18" s="225">
        <v>123.55</v>
      </c>
      <c r="V18" s="225">
        <v>119.95</v>
      </c>
      <c r="W18" s="225">
        <v>116.2</v>
      </c>
      <c r="X18" s="225">
        <v>113.27</v>
      </c>
      <c r="Y18" s="225">
        <v>106.1</v>
      </c>
      <c r="Z18" s="228"/>
      <c r="AA18" s="228">
        <v>60.3</v>
      </c>
      <c r="AB18" s="228">
        <v>123.55</v>
      </c>
      <c r="AC18" s="228">
        <v>94.654733326900001</v>
      </c>
      <c r="AQ18" s="140">
        <v>11</v>
      </c>
    </row>
    <row r="19" spans="1:43">
      <c r="A19" s="235" t="s">
        <v>311</v>
      </c>
      <c r="B19" s="225">
        <v>110.36</v>
      </c>
      <c r="C19" s="225">
        <v>97.57</v>
      </c>
      <c r="D19" s="225">
        <v>90</v>
      </c>
      <c r="E19" s="225">
        <v>85.91</v>
      </c>
      <c r="F19" s="225">
        <v>85</v>
      </c>
      <c r="G19" s="225">
        <v>85.2</v>
      </c>
      <c r="H19" s="225">
        <v>85.65</v>
      </c>
      <c r="I19" s="225">
        <v>79.63</v>
      </c>
      <c r="J19" s="225">
        <v>85.2</v>
      </c>
      <c r="K19" s="225">
        <v>77.239999999999995</v>
      </c>
      <c r="L19" s="223">
        <v>40</v>
      </c>
      <c r="M19" s="226">
        <v>12.17</v>
      </c>
      <c r="N19" s="226">
        <v>3.6</v>
      </c>
      <c r="O19" s="226">
        <v>3.52</v>
      </c>
      <c r="P19" s="226">
        <v>3.52</v>
      </c>
      <c r="Q19" s="226">
        <v>2.4</v>
      </c>
      <c r="R19" s="226">
        <v>10.96</v>
      </c>
      <c r="S19" s="225">
        <v>89.07</v>
      </c>
      <c r="T19" s="225">
        <v>116.28</v>
      </c>
      <c r="U19" s="225">
        <v>126.8</v>
      </c>
      <c r="V19" s="225">
        <v>124</v>
      </c>
      <c r="W19" s="225">
        <v>123.67</v>
      </c>
      <c r="X19" s="225">
        <v>116.73</v>
      </c>
      <c r="Y19" s="225">
        <v>114.9</v>
      </c>
      <c r="Z19" s="228"/>
      <c r="AA19" s="228">
        <v>2.4</v>
      </c>
      <c r="AB19" s="228">
        <v>126.8</v>
      </c>
      <c r="AC19" s="228">
        <v>66.595779549400007</v>
      </c>
      <c r="AQ19" s="140">
        <v>12</v>
      </c>
    </row>
    <row r="20" spans="1:43">
      <c r="A20" s="235" t="s">
        <v>312</v>
      </c>
      <c r="B20" s="225">
        <v>112.39</v>
      </c>
      <c r="C20" s="225">
        <v>105.07</v>
      </c>
      <c r="D20" s="225">
        <v>104.46</v>
      </c>
      <c r="E20" s="225">
        <v>100.37</v>
      </c>
      <c r="F20" s="225">
        <v>100</v>
      </c>
      <c r="G20" s="225">
        <v>109.13</v>
      </c>
      <c r="H20" s="225">
        <v>127.14</v>
      </c>
      <c r="I20" s="225">
        <v>141.29</v>
      </c>
      <c r="J20" s="225">
        <v>180</v>
      </c>
      <c r="K20" s="225">
        <v>145.66999999999999</v>
      </c>
      <c r="L20" s="225">
        <v>128.38</v>
      </c>
      <c r="M20" s="225">
        <v>111.92</v>
      </c>
      <c r="N20" s="225">
        <v>105.22</v>
      </c>
      <c r="O20" s="225">
        <v>100.81</v>
      </c>
      <c r="P20" s="225">
        <v>104.91</v>
      </c>
      <c r="Q20" s="225">
        <v>110.72</v>
      </c>
      <c r="R20" s="225">
        <v>126.64</v>
      </c>
      <c r="S20" s="225">
        <v>145.37</v>
      </c>
      <c r="T20" s="225">
        <v>157.07</v>
      </c>
      <c r="U20" s="225">
        <v>158.38999999999999</v>
      </c>
      <c r="V20" s="225">
        <v>146.38999999999999</v>
      </c>
      <c r="W20" s="225">
        <v>143.02000000000001</v>
      </c>
      <c r="X20" s="225">
        <v>135.01</v>
      </c>
      <c r="Y20" s="225">
        <v>120.1</v>
      </c>
      <c r="Z20" s="228"/>
      <c r="AA20" s="228">
        <v>100</v>
      </c>
      <c r="AB20" s="228">
        <v>180</v>
      </c>
      <c r="AC20" s="228">
        <v>126.0744960351</v>
      </c>
      <c r="AQ20" s="140">
        <v>13</v>
      </c>
    </row>
    <row r="21" spans="1:43">
      <c r="A21" s="235" t="s">
        <v>313</v>
      </c>
      <c r="B21" s="225">
        <v>122.19</v>
      </c>
      <c r="C21" s="225">
        <v>117.67</v>
      </c>
      <c r="D21" s="225">
        <v>114.53</v>
      </c>
      <c r="E21" s="225">
        <v>112.2</v>
      </c>
      <c r="F21" s="225">
        <v>112.2</v>
      </c>
      <c r="G21" s="225">
        <v>114.34</v>
      </c>
      <c r="H21" s="225">
        <v>138.52000000000001</v>
      </c>
      <c r="I21" s="225">
        <v>156</v>
      </c>
      <c r="J21" s="225">
        <v>186.54</v>
      </c>
      <c r="K21" s="225">
        <v>152.47</v>
      </c>
      <c r="L21" s="225">
        <v>133.76</v>
      </c>
      <c r="M21" s="225">
        <v>114.53</v>
      </c>
      <c r="N21" s="225">
        <v>112.37</v>
      </c>
      <c r="O21" s="225">
        <v>111.63</v>
      </c>
      <c r="P21" s="225">
        <v>114.53</v>
      </c>
      <c r="Q21" s="225">
        <v>115.03</v>
      </c>
      <c r="R21" s="225">
        <v>132.53</v>
      </c>
      <c r="S21" s="225">
        <v>160.87</v>
      </c>
      <c r="T21" s="225">
        <v>188.31</v>
      </c>
      <c r="U21" s="225">
        <v>189.54</v>
      </c>
      <c r="V21" s="225">
        <v>165.57</v>
      </c>
      <c r="W21" s="225">
        <v>152</v>
      </c>
      <c r="X21" s="225">
        <v>148.68</v>
      </c>
      <c r="Y21" s="225">
        <v>141.97999999999999</v>
      </c>
      <c r="Z21" s="228"/>
      <c r="AA21" s="228">
        <v>111.63</v>
      </c>
      <c r="AB21" s="228">
        <v>189.54</v>
      </c>
      <c r="AC21" s="228">
        <v>139.07130949930001</v>
      </c>
      <c r="AQ21" s="140">
        <v>14</v>
      </c>
    </row>
    <row r="22" spans="1:43">
      <c r="A22" s="235" t="s">
        <v>314</v>
      </c>
      <c r="B22" s="225">
        <v>132.4</v>
      </c>
      <c r="C22" s="225">
        <v>122.4</v>
      </c>
      <c r="D22" s="225">
        <v>118.6</v>
      </c>
      <c r="E22" s="225">
        <v>118.42</v>
      </c>
      <c r="F22" s="225">
        <v>118.13</v>
      </c>
      <c r="G22" s="225">
        <v>118.13</v>
      </c>
      <c r="H22" s="225">
        <v>135.56</v>
      </c>
      <c r="I22" s="225">
        <v>167.32</v>
      </c>
      <c r="J22" s="225">
        <v>225</v>
      </c>
      <c r="K22" s="225">
        <v>160</v>
      </c>
      <c r="L22" s="225">
        <v>138.91999999999999</v>
      </c>
      <c r="M22" s="225">
        <v>132.69999999999999</v>
      </c>
      <c r="N22" s="225">
        <v>126</v>
      </c>
      <c r="O22" s="225">
        <v>122.4</v>
      </c>
      <c r="P22" s="225">
        <v>115.58</v>
      </c>
      <c r="Q22" s="225">
        <v>117.81</v>
      </c>
      <c r="R22" s="225">
        <v>135</v>
      </c>
      <c r="S22" s="225">
        <v>143.19999999999999</v>
      </c>
      <c r="T22" s="225">
        <v>167.32</v>
      </c>
      <c r="U22" s="225">
        <v>178.97</v>
      </c>
      <c r="V22" s="225">
        <v>168.78</v>
      </c>
      <c r="W22" s="225">
        <v>150.97</v>
      </c>
      <c r="X22" s="225">
        <v>138.77000000000001</v>
      </c>
      <c r="Y22" s="225">
        <v>123.9</v>
      </c>
      <c r="Z22" s="228"/>
      <c r="AA22" s="228">
        <v>115.58</v>
      </c>
      <c r="AB22" s="228">
        <v>225</v>
      </c>
      <c r="AC22" s="228">
        <v>141.9570706165</v>
      </c>
      <c r="AQ22" s="140">
        <v>15</v>
      </c>
    </row>
    <row r="23" spans="1:43">
      <c r="A23" s="235" t="s">
        <v>315</v>
      </c>
      <c r="B23" s="225">
        <v>124.33</v>
      </c>
      <c r="C23" s="225">
        <v>118.41</v>
      </c>
      <c r="D23" s="225">
        <v>114</v>
      </c>
      <c r="E23" s="225">
        <v>108.58</v>
      </c>
      <c r="F23" s="225">
        <v>108.59</v>
      </c>
      <c r="G23" s="225">
        <v>118.1</v>
      </c>
      <c r="H23" s="225">
        <v>130.80000000000001</v>
      </c>
      <c r="I23" s="225">
        <v>148.04</v>
      </c>
      <c r="J23" s="225">
        <v>199.94</v>
      </c>
      <c r="K23" s="225">
        <v>155.11000000000001</v>
      </c>
      <c r="L23" s="225">
        <v>129.9</v>
      </c>
      <c r="M23" s="225">
        <v>114</v>
      </c>
      <c r="N23" s="225">
        <v>116</v>
      </c>
      <c r="O23" s="225">
        <v>120.5</v>
      </c>
      <c r="P23" s="225">
        <v>115.14</v>
      </c>
      <c r="Q23" s="225">
        <v>119.64</v>
      </c>
      <c r="R23" s="225">
        <v>120.34</v>
      </c>
      <c r="S23" s="225">
        <v>148.04</v>
      </c>
      <c r="T23" s="225">
        <v>184.32</v>
      </c>
      <c r="U23" s="225">
        <v>179.97</v>
      </c>
      <c r="V23" s="225">
        <v>159.6</v>
      </c>
      <c r="W23" s="225">
        <v>148.33000000000001</v>
      </c>
      <c r="X23" s="225">
        <v>136.02000000000001</v>
      </c>
      <c r="Y23" s="225">
        <v>124.44</v>
      </c>
      <c r="Z23" s="228"/>
      <c r="AA23" s="228">
        <v>108.58</v>
      </c>
      <c r="AB23" s="228">
        <v>199.94</v>
      </c>
      <c r="AC23" s="228">
        <v>136.13254095280001</v>
      </c>
      <c r="AQ23" s="140">
        <v>16</v>
      </c>
    </row>
    <row r="24" spans="1:43">
      <c r="A24" s="235" t="s">
        <v>316</v>
      </c>
      <c r="B24" s="225">
        <v>124.83</v>
      </c>
      <c r="C24" s="225">
        <v>121.32</v>
      </c>
      <c r="D24" s="225">
        <v>118.2</v>
      </c>
      <c r="E24" s="225">
        <v>117.49</v>
      </c>
      <c r="F24" s="225">
        <v>117.26</v>
      </c>
      <c r="G24" s="225">
        <v>119.99</v>
      </c>
      <c r="H24" s="225">
        <v>137.1</v>
      </c>
      <c r="I24" s="225">
        <v>150.84</v>
      </c>
      <c r="J24" s="225">
        <v>200</v>
      </c>
      <c r="K24" s="225">
        <v>155.1</v>
      </c>
      <c r="L24" s="225">
        <v>129.87</v>
      </c>
      <c r="M24" s="225">
        <v>116.44</v>
      </c>
      <c r="N24" s="225">
        <v>115.2</v>
      </c>
      <c r="O24" s="225">
        <v>108.5</v>
      </c>
      <c r="P24" s="225">
        <v>106.5</v>
      </c>
      <c r="Q24" s="225">
        <v>115</v>
      </c>
      <c r="R24" s="225">
        <v>118.38</v>
      </c>
      <c r="S24" s="225">
        <v>145.12</v>
      </c>
      <c r="T24" s="225">
        <v>175</v>
      </c>
      <c r="U24" s="225">
        <v>174.22</v>
      </c>
      <c r="V24" s="225">
        <v>157.91</v>
      </c>
      <c r="W24" s="225">
        <v>153.27000000000001</v>
      </c>
      <c r="X24" s="225">
        <v>139.97</v>
      </c>
      <c r="Y24" s="225">
        <v>137.34</v>
      </c>
      <c r="Z24" s="228"/>
      <c r="AA24" s="228">
        <v>106.5</v>
      </c>
      <c r="AB24" s="228">
        <v>200</v>
      </c>
      <c r="AC24" s="228">
        <v>136.50451991950001</v>
      </c>
      <c r="AQ24" s="140">
        <v>17</v>
      </c>
    </row>
    <row r="25" spans="1:43">
      <c r="A25" s="235" t="s">
        <v>317</v>
      </c>
      <c r="B25" s="225">
        <v>135.56</v>
      </c>
      <c r="C25" s="225">
        <v>130.01</v>
      </c>
      <c r="D25" s="225">
        <v>129.72999999999999</v>
      </c>
      <c r="E25" s="225">
        <v>124.9</v>
      </c>
      <c r="F25" s="225">
        <v>117</v>
      </c>
      <c r="G25" s="225">
        <v>119.78</v>
      </c>
      <c r="H25" s="225">
        <v>120</v>
      </c>
      <c r="I25" s="225">
        <v>133.80000000000001</v>
      </c>
      <c r="J25" s="225">
        <v>145.69</v>
      </c>
      <c r="K25" s="225">
        <v>144.1</v>
      </c>
      <c r="L25" s="225">
        <v>131.69999999999999</v>
      </c>
      <c r="M25" s="225">
        <v>110.2</v>
      </c>
      <c r="N25" s="225">
        <v>113.97</v>
      </c>
      <c r="O25" s="225">
        <v>114.17</v>
      </c>
      <c r="P25" s="225">
        <v>114.17</v>
      </c>
      <c r="Q25" s="225">
        <v>113.97</v>
      </c>
      <c r="R25" s="225">
        <v>120.9</v>
      </c>
      <c r="S25" s="225">
        <v>145.65</v>
      </c>
      <c r="T25" s="225">
        <v>167.57</v>
      </c>
      <c r="U25" s="225">
        <v>167.85</v>
      </c>
      <c r="V25" s="225">
        <v>156.12</v>
      </c>
      <c r="W25" s="225">
        <v>149.61000000000001</v>
      </c>
      <c r="X25" s="225">
        <v>147.25</v>
      </c>
      <c r="Y25" s="225">
        <v>142.19</v>
      </c>
      <c r="Z25" s="228"/>
      <c r="AA25" s="228">
        <v>110.2</v>
      </c>
      <c r="AB25" s="228">
        <v>167.85</v>
      </c>
      <c r="AC25" s="228">
        <v>133.07793622930001</v>
      </c>
      <c r="AQ25" s="140">
        <v>18</v>
      </c>
    </row>
    <row r="26" spans="1:43">
      <c r="A26" s="235" t="s">
        <v>318</v>
      </c>
      <c r="B26" s="225">
        <v>134.46</v>
      </c>
      <c r="C26" s="225">
        <v>125.51</v>
      </c>
      <c r="D26" s="225">
        <v>123.17</v>
      </c>
      <c r="E26" s="225">
        <v>121.24</v>
      </c>
      <c r="F26" s="225">
        <v>120.18</v>
      </c>
      <c r="G26" s="225">
        <v>120</v>
      </c>
      <c r="H26" s="225">
        <v>121.59</v>
      </c>
      <c r="I26" s="225">
        <v>123.47</v>
      </c>
      <c r="J26" s="225">
        <v>123.61</v>
      </c>
      <c r="K26" s="225">
        <v>125.33</v>
      </c>
      <c r="L26" s="225">
        <v>103</v>
      </c>
      <c r="M26" s="225">
        <v>102.35</v>
      </c>
      <c r="N26" s="225">
        <v>103</v>
      </c>
      <c r="O26" s="225">
        <v>105.1</v>
      </c>
      <c r="P26" s="225">
        <v>105.5</v>
      </c>
      <c r="Q26" s="225">
        <v>108.53</v>
      </c>
      <c r="R26" s="225">
        <v>115.79</v>
      </c>
      <c r="S26" s="225">
        <v>140</v>
      </c>
      <c r="T26" s="225">
        <v>159.68</v>
      </c>
      <c r="U26" s="225">
        <v>157.33000000000001</v>
      </c>
      <c r="V26" s="225">
        <v>151.47</v>
      </c>
      <c r="W26" s="225">
        <v>150.86000000000001</v>
      </c>
      <c r="X26" s="225">
        <v>138.43</v>
      </c>
      <c r="Y26" s="225">
        <v>123.12</v>
      </c>
      <c r="Z26" s="228"/>
      <c r="AA26" s="228">
        <v>102.35</v>
      </c>
      <c r="AB26" s="228">
        <v>159.68</v>
      </c>
      <c r="AC26" s="228">
        <v>124.78876266890001</v>
      </c>
      <c r="AQ26" s="140">
        <v>19</v>
      </c>
    </row>
    <row r="27" spans="1:43">
      <c r="A27" s="235" t="s">
        <v>319</v>
      </c>
      <c r="B27" s="225">
        <v>122.3</v>
      </c>
      <c r="C27" s="225">
        <v>119.5</v>
      </c>
      <c r="D27" s="225">
        <v>116.57</v>
      </c>
      <c r="E27" s="225">
        <v>114.41</v>
      </c>
      <c r="F27" s="225">
        <v>115.45</v>
      </c>
      <c r="G27" s="225">
        <v>116.1</v>
      </c>
      <c r="H27" s="225">
        <v>137.33000000000001</v>
      </c>
      <c r="I27" s="225">
        <v>151.06</v>
      </c>
      <c r="J27" s="225">
        <v>154.06</v>
      </c>
      <c r="K27" s="225">
        <v>154.15</v>
      </c>
      <c r="L27" s="225">
        <v>153.1</v>
      </c>
      <c r="M27" s="225">
        <v>154.72999999999999</v>
      </c>
      <c r="N27" s="225">
        <v>155</v>
      </c>
      <c r="O27" s="225">
        <v>155</v>
      </c>
      <c r="P27" s="225">
        <v>155.01</v>
      </c>
      <c r="Q27" s="225">
        <v>155.13</v>
      </c>
      <c r="R27" s="225">
        <v>153.58000000000001</v>
      </c>
      <c r="S27" s="225">
        <v>153.34</v>
      </c>
      <c r="T27" s="225">
        <v>154.93</v>
      </c>
      <c r="U27" s="225">
        <v>159.15</v>
      </c>
      <c r="V27" s="225">
        <v>165.6</v>
      </c>
      <c r="W27" s="225">
        <v>170</v>
      </c>
      <c r="X27" s="225">
        <v>153.58000000000001</v>
      </c>
      <c r="Y27" s="225">
        <v>139</v>
      </c>
      <c r="Z27" s="228"/>
      <c r="AA27" s="228">
        <v>114.41</v>
      </c>
      <c r="AB27" s="228">
        <v>170</v>
      </c>
      <c r="AC27" s="228">
        <v>147.67598379590001</v>
      </c>
      <c r="AQ27" s="140">
        <v>20</v>
      </c>
    </row>
    <row r="28" spans="1:43">
      <c r="A28" s="235" t="s">
        <v>320</v>
      </c>
      <c r="B28" s="225">
        <v>136</v>
      </c>
      <c r="C28" s="225">
        <v>130.65</v>
      </c>
      <c r="D28" s="225">
        <v>124.35</v>
      </c>
      <c r="E28" s="225">
        <v>117.05</v>
      </c>
      <c r="F28" s="225">
        <v>115.3</v>
      </c>
      <c r="G28" s="225">
        <v>123.83</v>
      </c>
      <c r="H28" s="225">
        <v>138.86000000000001</v>
      </c>
      <c r="I28" s="225">
        <v>147.08000000000001</v>
      </c>
      <c r="J28" s="225">
        <v>160</v>
      </c>
      <c r="K28" s="225">
        <v>155.1</v>
      </c>
      <c r="L28" s="225">
        <v>147.78</v>
      </c>
      <c r="M28" s="225">
        <v>146.69</v>
      </c>
      <c r="N28" s="225">
        <v>144.57</v>
      </c>
      <c r="O28" s="225">
        <v>140.34</v>
      </c>
      <c r="P28" s="225">
        <v>135.25</v>
      </c>
      <c r="Q28" s="225">
        <v>135.53</v>
      </c>
      <c r="R28" s="225">
        <v>145.1</v>
      </c>
      <c r="S28" s="225">
        <v>147.29</v>
      </c>
      <c r="T28" s="225">
        <v>150.19</v>
      </c>
      <c r="U28" s="225">
        <v>164.22</v>
      </c>
      <c r="V28" s="225">
        <v>159.5</v>
      </c>
      <c r="W28" s="225">
        <v>147.08000000000001</v>
      </c>
      <c r="X28" s="225">
        <v>137</v>
      </c>
      <c r="Y28" s="225">
        <v>125.75</v>
      </c>
      <c r="Z28" s="228"/>
      <c r="AA28" s="228">
        <v>115.3</v>
      </c>
      <c r="AB28" s="228">
        <v>164.22</v>
      </c>
      <c r="AC28" s="228">
        <v>142.37933150340001</v>
      </c>
      <c r="AQ28" s="140">
        <v>21</v>
      </c>
    </row>
    <row r="29" spans="1:43">
      <c r="A29" s="235" t="s">
        <v>321</v>
      </c>
      <c r="B29" s="225">
        <v>123.53</v>
      </c>
      <c r="C29" s="225">
        <v>116.3</v>
      </c>
      <c r="D29" s="225">
        <v>106.78</v>
      </c>
      <c r="E29" s="225">
        <v>104.45</v>
      </c>
      <c r="F29" s="225">
        <v>103.6</v>
      </c>
      <c r="G29" s="225">
        <v>107</v>
      </c>
      <c r="H29" s="225">
        <v>120.57</v>
      </c>
      <c r="I29" s="225">
        <v>140.33000000000001</v>
      </c>
      <c r="J29" s="225">
        <v>153</v>
      </c>
      <c r="K29" s="225">
        <v>152.19</v>
      </c>
      <c r="L29" s="225">
        <v>144.38</v>
      </c>
      <c r="M29" s="225">
        <v>137</v>
      </c>
      <c r="N29" s="225">
        <v>132.61000000000001</v>
      </c>
      <c r="O29" s="225">
        <v>127.14</v>
      </c>
      <c r="P29" s="225">
        <v>126.99</v>
      </c>
      <c r="Q29" s="225">
        <v>131.35</v>
      </c>
      <c r="R29" s="225">
        <v>139.57</v>
      </c>
      <c r="S29" s="225">
        <v>149.03</v>
      </c>
      <c r="T29" s="225">
        <v>159.6</v>
      </c>
      <c r="U29" s="225">
        <v>167.72</v>
      </c>
      <c r="V29" s="225">
        <v>155.82</v>
      </c>
      <c r="W29" s="225">
        <v>155.1</v>
      </c>
      <c r="X29" s="225">
        <v>145</v>
      </c>
      <c r="Y29" s="225">
        <v>139.87</v>
      </c>
      <c r="Z29" s="228"/>
      <c r="AA29" s="228">
        <v>103.6</v>
      </c>
      <c r="AB29" s="228">
        <v>167.72</v>
      </c>
      <c r="AC29" s="228">
        <v>136.8569915299</v>
      </c>
      <c r="AQ29" s="140">
        <v>22</v>
      </c>
    </row>
    <row r="30" spans="1:43">
      <c r="A30" s="235" t="s">
        <v>322</v>
      </c>
      <c r="B30" s="225">
        <v>125.01</v>
      </c>
      <c r="C30" s="225">
        <v>120.53</v>
      </c>
      <c r="D30" s="225">
        <v>118.7</v>
      </c>
      <c r="E30" s="225">
        <v>113.1</v>
      </c>
      <c r="F30" s="225">
        <v>112.97</v>
      </c>
      <c r="G30" s="225">
        <v>118.08</v>
      </c>
      <c r="H30" s="225">
        <v>130.01</v>
      </c>
      <c r="I30" s="225">
        <v>142.28</v>
      </c>
      <c r="J30" s="225">
        <v>160.34</v>
      </c>
      <c r="K30" s="225">
        <v>157.26</v>
      </c>
      <c r="L30" s="225">
        <v>147.32</v>
      </c>
      <c r="M30" s="225">
        <v>142.28</v>
      </c>
      <c r="N30" s="225">
        <v>135.72</v>
      </c>
      <c r="O30" s="225">
        <v>125.1</v>
      </c>
      <c r="P30" s="225">
        <v>121.2</v>
      </c>
      <c r="Q30" s="225">
        <v>123.54</v>
      </c>
      <c r="R30" s="225">
        <v>135.72</v>
      </c>
      <c r="S30" s="225">
        <v>152.4</v>
      </c>
      <c r="T30" s="225">
        <v>165</v>
      </c>
      <c r="U30" s="225">
        <v>196.51</v>
      </c>
      <c r="V30" s="225">
        <v>187.92</v>
      </c>
      <c r="W30" s="225">
        <v>162.27000000000001</v>
      </c>
      <c r="X30" s="225">
        <v>150.1</v>
      </c>
      <c r="Y30" s="225">
        <v>129.9</v>
      </c>
      <c r="Z30" s="228"/>
      <c r="AA30" s="228">
        <v>112.97</v>
      </c>
      <c r="AB30" s="228">
        <v>196.51</v>
      </c>
      <c r="AC30" s="228">
        <v>141.29190418939999</v>
      </c>
      <c r="AQ30" s="140">
        <v>23</v>
      </c>
    </row>
    <row r="31" spans="1:43">
      <c r="A31" s="235" t="s">
        <v>323</v>
      </c>
      <c r="B31" s="225">
        <v>94</v>
      </c>
      <c r="C31" s="225">
        <v>88.74</v>
      </c>
      <c r="D31" s="225">
        <v>82.03</v>
      </c>
      <c r="E31" s="225">
        <v>77.650000000000006</v>
      </c>
      <c r="F31" s="225">
        <v>77.39</v>
      </c>
      <c r="G31" s="225">
        <v>78.2</v>
      </c>
      <c r="H31" s="225">
        <v>88.74</v>
      </c>
      <c r="I31" s="225">
        <v>105</v>
      </c>
      <c r="J31" s="225">
        <v>122</v>
      </c>
      <c r="K31" s="225">
        <v>114.78</v>
      </c>
      <c r="L31" s="225">
        <v>94.17</v>
      </c>
      <c r="M31" s="225">
        <v>81.93</v>
      </c>
      <c r="N31" s="225">
        <v>79.680000000000007</v>
      </c>
      <c r="O31" s="225">
        <v>77.260000000000005</v>
      </c>
      <c r="P31" s="225">
        <v>75.069999999999993</v>
      </c>
      <c r="Q31" s="225">
        <v>77.260000000000005</v>
      </c>
      <c r="R31" s="225">
        <v>77.13</v>
      </c>
      <c r="S31" s="225">
        <v>92.7</v>
      </c>
      <c r="T31" s="225">
        <v>102</v>
      </c>
      <c r="U31" s="225">
        <v>111.9</v>
      </c>
      <c r="V31" s="225">
        <v>112.45</v>
      </c>
      <c r="W31" s="225">
        <v>103.35</v>
      </c>
      <c r="X31" s="225">
        <v>97.78</v>
      </c>
      <c r="Y31" s="225">
        <v>90.7</v>
      </c>
      <c r="Z31" s="228"/>
      <c r="AA31" s="228">
        <v>75.069999999999993</v>
      </c>
      <c r="AB31" s="228">
        <v>122</v>
      </c>
      <c r="AC31" s="228">
        <v>91.601784246999998</v>
      </c>
      <c r="AQ31" s="140">
        <v>24</v>
      </c>
    </row>
    <row r="32" spans="1:43">
      <c r="A32" s="235" t="s">
        <v>324</v>
      </c>
      <c r="B32" s="225">
        <v>57.03</v>
      </c>
      <c r="C32" s="223">
        <v>35</v>
      </c>
      <c r="D32" s="223">
        <v>25.2</v>
      </c>
      <c r="E32" s="226">
        <v>19.71</v>
      </c>
      <c r="F32" s="226">
        <v>16.8</v>
      </c>
      <c r="G32" s="226">
        <v>17.72</v>
      </c>
      <c r="H32" s="226">
        <v>25</v>
      </c>
      <c r="I32" s="225">
        <v>49.29</v>
      </c>
      <c r="J32" s="223">
        <v>37.700000000000003</v>
      </c>
      <c r="K32" s="223">
        <v>33.01</v>
      </c>
      <c r="L32" s="226">
        <v>24.08</v>
      </c>
      <c r="M32" s="225">
        <v>45.08</v>
      </c>
      <c r="N32" s="223">
        <v>35</v>
      </c>
      <c r="O32" s="226">
        <v>19.71</v>
      </c>
      <c r="P32" s="226">
        <v>10.94</v>
      </c>
      <c r="Q32" s="226">
        <v>3.6</v>
      </c>
      <c r="R32" s="226">
        <v>20.2</v>
      </c>
      <c r="S32" s="223">
        <v>30</v>
      </c>
      <c r="T32" s="225">
        <v>76.8</v>
      </c>
      <c r="U32" s="225">
        <v>91</v>
      </c>
      <c r="V32" s="225">
        <v>96.37</v>
      </c>
      <c r="W32" s="225">
        <v>87.38</v>
      </c>
      <c r="X32" s="225">
        <v>86.5</v>
      </c>
      <c r="Y32" s="225">
        <v>77.349999999999994</v>
      </c>
      <c r="Z32" s="228"/>
      <c r="AA32" s="228">
        <v>3.6</v>
      </c>
      <c r="AB32" s="228">
        <v>96.37</v>
      </c>
      <c r="AC32" s="228">
        <v>40.497232773500002</v>
      </c>
      <c r="AQ32" s="140">
        <v>25</v>
      </c>
    </row>
    <row r="33" spans="1:43">
      <c r="A33" s="235" t="s">
        <v>325</v>
      </c>
      <c r="B33" s="223">
        <v>41.18</v>
      </c>
      <c r="C33" s="223">
        <v>35.200000000000003</v>
      </c>
      <c r="D33" s="223">
        <v>29.7</v>
      </c>
      <c r="E33" s="223">
        <v>29.03</v>
      </c>
      <c r="F33" s="223">
        <v>26.21</v>
      </c>
      <c r="G33" s="223">
        <v>25.95</v>
      </c>
      <c r="H33" s="223">
        <v>26.21</v>
      </c>
      <c r="I33" s="223">
        <v>29.03</v>
      </c>
      <c r="J33" s="223">
        <v>29.54</v>
      </c>
      <c r="K33" s="223">
        <v>26.21</v>
      </c>
      <c r="L33" s="223">
        <v>25.95</v>
      </c>
      <c r="M33" s="226">
        <v>24.99</v>
      </c>
      <c r="N33" s="226">
        <v>9.89</v>
      </c>
      <c r="O33" s="226">
        <v>7.19</v>
      </c>
      <c r="P33" s="226">
        <v>6.99</v>
      </c>
      <c r="Q33" s="226">
        <v>6.93</v>
      </c>
      <c r="R33" s="226">
        <v>13.45</v>
      </c>
      <c r="S33" s="223">
        <v>25.2</v>
      </c>
      <c r="T33" s="223">
        <v>39.4</v>
      </c>
      <c r="U33" s="223">
        <v>44.38</v>
      </c>
      <c r="V33" s="223">
        <v>39.06</v>
      </c>
      <c r="W33" s="223">
        <v>33.78</v>
      </c>
      <c r="X33" s="223">
        <v>32.35</v>
      </c>
      <c r="Y33" s="223">
        <v>26.32</v>
      </c>
      <c r="Z33" s="228"/>
      <c r="AA33" s="228">
        <v>6.93</v>
      </c>
      <c r="AB33" s="228">
        <v>44.38</v>
      </c>
      <c r="AC33" s="228">
        <v>25.723338237</v>
      </c>
      <c r="AQ33" s="140">
        <v>26</v>
      </c>
    </row>
    <row r="34" spans="1:43">
      <c r="A34" s="235" t="s">
        <v>326</v>
      </c>
      <c r="B34" s="226">
        <v>12</v>
      </c>
      <c r="C34" s="226">
        <v>3.52</v>
      </c>
      <c r="D34" s="226">
        <v>3.52</v>
      </c>
      <c r="E34" s="226">
        <v>3.52</v>
      </c>
      <c r="F34" s="226">
        <v>0.65</v>
      </c>
      <c r="G34" s="226">
        <v>3.52</v>
      </c>
      <c r="H34" s="226">
        <v>6.99</v>
      </c>
      <c r="I34" s="223">
        <v>31.84</v>
      </c>
      <c r="J34" s="225">
        <v>48.01</v>
      </c>
      <c r="K34" s="223">
        <v>43.06</v>
      </c>
      <c r="L34" s="223">
        <v>35.72</v>
      </c>
      <c r="M34" s="223">
        <v>26.23</v>
      </c>
      <c r="N34" s="226">
        <v>14.53</v>
      </c>
      <c r="O34" s="226">
        <v>4.3099999999999996</v>
      </c>
      <c r="P34" s="226">
        <v>3.6</v>
      </c>
      <c r="Q34" s="226">
        <v>5</v>
      </c>
      <c r="R34" s="226">
        <v>14</v>
      </c>
      <c r="S34" s="223">
        <v>32</v>
      </c>
      <c r="T34" s="223">
        <v>40.78</v>
      </c>
      <c r="U34" s="225">
        <v>53.37</v>
      </c>
      <c r="V34" s="223">
        <v>40.9</v>
      </c>
      <c r="W34" s="223">
        <v>37.68</v>
      </c>
      <c r="X34" s="223">
        <v>32</v>
      </c>
      <c r="Y34" s="223">
        <v>26.23</v>
      </c>
      <c r="Z34" s="228"/>
      <c r="AA34" s="228">
        <v>0.65</v>
      </c>
      <c r="AB34" s="228">
        <v>53.37</v>
      </c>
      <c r="AC34" s="228">
        <v>22.339637743899999</v>
      </c>
      <c r="AQ34" s="140">
        <v>27</v>
      </c>
    </row>
    <row r="35" spans="1:43">
      <c r="A35" s="235" t="s">
        <v>327</v>
      </c>
      <c r="B35" s="226">
        <v>3.52</v>
      </c>
      <c r="C35" s="226">
        <v>2</v>
      </c>
      <c r="D35" s="226">
        <v>0.65</v>
      </c>
      <c r="E35" s="226">
        <v>0.66</v>
      </c>
      <c r="F35" s="226">
        <v>0.65</v>
      </c>
      <c r="G35" s="226">
        <v>0.65</v>
      </c>
      <c r="H35" s="226">
        <v>3.52</v>
      </c>
      <c r="I35" s="226">
        <v>14</v>
      </c>
      <c r="J35" s="223">
        <v>30.54</v>
      </c>
      <c r="K35" s="226">
        <v>23.54</v>
      </c>
      <c r="L35" s="226">
        <v>3.52</v>
      </c>
      <c r="M35" s="226">
        <v>2</v>
      </c>
      <c r="N35" s="226">
        <v>0.65</v>
      </c>
      <c r="O35" s="226">
        <v>0.65</v>
      </c>
      <c r="P35" s="226">
        <v>0.65</v>
      </c>
      <c r="Q35" s="226">
        <v>0.65</v>
      </c>
      <c r="R35" s="226">
        <v>3.52</v>
      </c>
      <c r="S35" s="226">
        <v>14</v>
      </c>
      <c r="T35" s="225">
        <v>51.32</v>
      </c>
      <c r="U35" s="225">
        <v>69.5</v>
      </c>
      <c r="V35" s="225">
        <v>60</v>
      </c>
      <c r="W35" s="225">
        <v>48.03</v>
      </c>
      <c r="X35" s="223">
        <v>34.22</v>
      </c>
      <c r="Y35" s="223">
        <v>26.28</v>
      </c>
      <c r="Z35" s="228"/>
      <c r="AA35" s="228">
        <v>0.65</v>
      </c>
      <c r="AB35" s="228">
        <v>69.5</v>
      </c>
      <c r="AC35" s="228">
        <v>15.8531806422</v>
      </c>
      <c r="AE35" s="66"/>
      <c r="AQ35" s="140">
        <v>28</v>
      </c>
    </row>
    <row r="36" spans="1:43">
      <c r="A36" s="235" t="s">
        <v>328</v>
      </c>
      <c r="B36" s="226">
        <v>17.47</v>
      </c>
      <c r="C36" s="226">
        <v>7.4</v>
      </c>
      <c r="D36" s="226">
        <v>3.52</v>
      </c>
      <c r="E36" s="226">
        <v>3.52</v>
      </c>
      <c r="F36" s="226">
        <v>3.52</v>
      </c>
      <c r="G36" s="226">
        <v>3.52</v>
      </c>
      <c r="H36" s="223">
        <v>38.159999999999997</v>
      </c>
      <c r="I36" s="225">
        <v>76.459999999999994</v>
      </c>
      <c r="J36" s="225">
        <v>103.61</v>
      </c>
      <c r="K36" s="225">
        <v>69.2</v>
      </c>
      <c r="L36" s="225">
        <v>45</v>
      </c>
      <c r="M36" s="225">
        <v>46.02</v>
      </c>
      <c r="N36" s="223">
        <v>29.9</v>
      </c>
      <c r="O36" s="226">
        <v>10.210000000000001</v>
      </c>
      <c r="P36" s="226">
        <v>9.23</v>
      </c>
      <c r="Q36" s="226">
        <v>12.18</v>
      </c>
      <c r="R36" s="223">
        <v>36.659999999999997</v>
      </c>
      <c r="S36" s="225">
        <v>50.1</v>
      </c>
      <c r="T36" s="225">
        <v>83.06</v>
      </c>
      <c r="U36" s="225">
        <v>123.99</v>
      </c>
      <c r="V36" s="225">
        <v>133.85</v>
      </c>
      <c r="W36" s="225">
        <v>118.57</v>
      </c>
      <c r="X36" s="225">
        <v>94.67</v>
      </c>
      <c r="Y36" s="225">
        <v>51.08</v>
      </c>
      <c r="Z36" s="228"/>
      <c r="AA36" s="228">
        <v>3.52</v>
      </c>
      <c r="AB36" s="228">
        <v>133.85</v>
      </c>
      <c r="AC36" s="228">
        <v>49.660108446000002</v>
      </c>
      <c r="AQ36" s="140">
        <v>29</v>
      </c>
    </row>
    <row r="37" spans="1:43">
      <c r="A37" s="235" t="s">
        <v>329</v>
      </c>
      <c r="B37" s="225">
        <v>60.08</v>
      </c>
      <c r="C37" s="225">
        <v>45.7</v>
      </c>
      <c r="D37" s="223">
        <v>38.340000000000003</v>
      </c>
      <c r="E37" s="226">
        <v>14</v>
      </c>
      <c r="F37" s="226">
        <v>7.44</v>
      </c>
      <c r="G37" s="226">
        <v>7.4</v>
      </c>
      <c r="H37" s="223">
        <v>38.340000000000003</v>
      </c>
      <c r="I37" s="225">
        <v>60.3</v>
      </c>
      <c r="J37" s="225">
        <v>90.35</v>
      </c>
      <c r="K37" s="225">
        <v>50.24</v>
      </c>
      <c r="L37" s="226">
        <v>5</v>
      </c>
      <c r="M37" s="226">
        <v>2.4</v>
      </c>
      <c r="N37" s="226">
        <v>0.1</v>
      </c>
      <c r="O37" s="226">
        <v>0.01</v>
      </c>
      <c r="P37" s="236">
        <v>0</v>
      </c>
      <c r="Q37" s="226">
        <v>0.13</v>
      </c>
      <c r="R37" s="226">
        <v>3.52</v>
      </c>
      <c r="S37" s="223">
        <v>25.17</v>
      </c>
      <c r="T37" s="225">
        <v>80.3</v>
      </c>
      <c r="U37" s="225">
        <v>91.66</v>
      </c>
      <c r="V37" s="225">
        <v>114</v>
      </c>
      <c r="W37" s="225">
        <v>108.04</v>
      </c>
      <c r="X37" s="225">
        <v>96.02</v>
      </c>
      <c r="Y37" s="225">
        <v>79</v>
      </c>
      <c r="Z37" s="228"/>
      <c r="AA37" s="228">
        <v>0</v>
      </c>
      <c r="AB37" s="228">
        <v>114</v>
      </c>
      <c r="AC37" s="228">
        <v>39.507520997500002</v>
      </c>
      <c r="AQ37" s="140">
        <v>30</v>
      </c>
    </row>
    <row r="38" spans="1:43">
      <c r="A38" s="235" t="s">
        <v>330</v>
      </c>
      <c r="B38" s="225">
        <v>61</v>
      </c>
      <c r="C38" s="225">
        <v>70.47</v>
      </c>
      <c r="D38" s="225">
        <v>70.209999999999994</v>
      </c>
      <c r="E38" s="225">
        <v>70.34</v>
      </c>
      <c r="F38" s="225">
        <v>70.47</v>
      </c>
      <c r="G38" s="225">
        <v>84</v>
      </c>
      <c r="H38" s="225">
        <v>92.85</v>
      </c>
      <c r="I38" s="225">
        <v>118.86</v>
      </c>
      <c r="J38" s="225">
        <v>150</v>
      </c>
      <c r="K38" s="225">
        <v>100</v>
      </c>
      <c r="L38" s="225">
        <v>70.209999999999994</v>
      </c>
      <c r="M38" s="225">
        <v>45.3</v>
      </c>
      <c r="N38" s="223">
        <v>44.12</v>
      </c>
      <c r="O38" s="223">
        <v>44.97</v>
      </c>
      <c r="P38" s="223">
        <v>39</v>
      </c>
      <c r="Q38" s="225">
        <v>45.19</v>
      </c>
      <c r="R38" s="225">
        <v>65</v>
      </c>
      <c r="S38" s="225">
        <v>114.89</v>
      </c>
      <c r="T38" s="225">
        <v>184.48</v>
      </c>
      <c r="U38" s="225">
        <v>178.99</v>
      </c>
      <c r="V38" s="225">
        <v>162.66</v>
      </c>
      <c r="W38" s="225">
        <v>152.69999999999999</v>
      </c>
      <c r="X38" s="225">
        <v>145.02000000000001</v>
      </c>
      <c r="Y38" s="225">
        <v>131.29</v>
      </c>
      <c r="Z38" s="228"/>
      <c r="AA38" s="228">
        <v>39</v>
      </c>
      <c r="AB38" s="228">
        <v>184.48</v>
      </c>
      <c r="AC38" s="228">
        <v>91.272096595600004</v>
      </c>
      <c r="AQ38" s="140">
        <v>31</v>
      </c>
    </row>
    <row r="41" spans="1:43">
      <c r="A41" s="240" t="s">
        <v>27</v>
      </c>
      <c r="B41" s="251" t="s">
        <v>50</v>
      </c>
      <c r="C41" s="252"/>
      <c r="D41" s="252"/>
      <c r="E41" s="252"/>
      <c r="F41" s="252"/>
      <c r="G41" s="252"/>
      <c r="H41" s="252"/>
      <c r="I41" s="252"/>
      <c r="J41" s="252"/>
      <c r="K41" s="252"/>
      <c r="L41" s="252"/>
      <c r="M41" s="252"/>
      <c r="N41" s="252"/>
    </row>
    <row r="42" spans="1:43">
      <c r="A42" s="240" t="s">
        <v>122</v>
      </c>
      <c r="B42" s="237">
        <v>202401</v>
      </c>
      <c r="C42" s="237">
        <v>202402</v>
      </c>
      <c r="D42" s="237">
        <v>202403</v>
      </c>
      <c r="E42" s="237">
        <v>202404</v>
      </c>
      <c r="F42" s="237">
        <v>202405</v>
      </c>
      <c r="G42" s="237">
        <v>202406</v>
      </c>
      <c r="H42" s="237">
        <v>202407</v>
      </c>
      <c r="I42" s="237">
        <v>202408</v>
      </c>
      <c r="J42" s="237">
        <v>202409</v>
      </c>
      <c r="K42" s="237">
        <v>202410</v>
      </c>
      <c r="L42" s="237">
        <v>202411</v>
      </c>
      <c r="M42" s="237">
        <v>202412</v>
      </c>
      <c r="N42" s="237">
        <v>202501</v>
      </c>
    </row>
    <row r="43" spans="1:43">
      <c r="A43" s="240" t="s">
        <v>93</v>
      </c>
      <c r="B43" s="174" t="s">
        <v>263</v>
      </c>
      <c r="C43" s="174" t="s">
        <v>265</v>
      </c>
      <c r="D43" s="174" t="s">
        <v>268</v>
      </c>
      <c r="E43" s="174" t="s">
        <v>272</v>
      </c>
      <c r="F43" s="174" t="s">
        <v>276</v>
      </c>
      <c r="G43" s="174" t="s">
        <v>278</v>
      </c>
      <c r="H43" s="174" t="s">
        <v>280</v>
      </c>
      <c r="I43" s="174" t="s">
        <v>282</v>
      </c>
      <c r="J43" s="174" t="s">
        <v>284</v>
      </c>
      <c r="K43" s="174" t="s">
        <v>291</v>
      </c>
      <c r="L43" s="174" t="s">
        <v>294</v>
      </c>
      <c r="M43" s="174" t="s">
        <v>296</v>
      </c>
      <c r="N43" s="174" t="s">
        <v>331</v>
      </c>
    </row>
    <row r="44" spans="1:43">
      <c r="A44" s="240" t="s">
        <v>123</v>
      </c>
      <c r="B44" s="237"/>
      <c r="C44" s="237"/>
      <c r="D44" s="237"/>
      <c r="E44" s="237"/>
      <c r="F44" s="237"/>
      <c r="G44" s="237"/>
      <c r="H44" s="237"/>
      <c r="I44" s="237"/>
      <c r="J44" s="237"/>
      <c r="K44" s="237"/>
      <c r="L44" s="237"/>
      <c r="M44" s="237"/>
      <c r="N44" s="237"/>
    </row>
    <row r="45" spans="1:43">
      <c r="A45" s="145" t="s">
        <v>51</v>
      </c>
      <c r="B45" s="229">
        <v>21055819.800999999</v>
      </c>
      <c r="C45" s="229">
        <v>19159503.210000001</v>
      </c>
      <c r="D45" s="229">
        <v>19517614.956</v>
      </c>
      <c r="E45" s="229">
        <v>18198375.331999999</v>
      </c>
      <c r="F45" s="229">
        <v>18482721.998</v>
      </c>
      <c r="G45" s="229">
        <v>18500106.291000001</v>
      </c>
      <c r="H45" s="229">
        <v>21346708.355</v>
      </c>
      <c r="I45" s="229">
        <v>20916983.252999999</v>
      </c>
      <c r="J45" s="229">
        <v>18653778.333999999</v>
      </c>
      <c r="K45" s="229">
        <v>19004643.151000001</v>
      </c>
      <c r="L45" s="229">
        <v>18627463.752</v>
      </c>
      <c r="M45" s="229">
        <v>20123988.956999999</v>
      </c>
      <c r="N45" s="229">
        <v>21468624.427000001</v>
      </c>
      <c r="O45" s="66">
        <v>20123988.956999999</v>
      </c>
      <c r="Q45" s="145"/>
    </row>
    <row r="46" spans="1:43">
      <c r="A46" s="145" t="s">
        <v>52</v>
      </c>
      <c r="B46" s="230">
        <v>100</v>
      </c>
      <c r="C46" s="230">
        <v>100</v>
      </c>
      <c r="D46" s="230">
        <v>100</v>
      </c>
      <c r="E46" s="230">
        <v>100</v>
      </c>
      <c r="F46" s="230">
        <v>100</v>
      </c>
      <c r="G46" s="230">
        <v>100</v>
      </c>
      <c r="H46" s="230">
        <v>100</v>
      </c>
      <c r="I46" s="230">
        <v>100</v>
      </c>
      <c r="J46" s="230">
        <v>100</v>
      </c>
      <c r="K46" s="230">
        <v>100</v>
      </c>
      <c r="L46" s="230">
        <v>100</v>
      </c>
      <c r="M46" s="230">
        <v>100</v>
      </c>
      <c r="N46" s="230">
        <v>100</v>
      </c>
      <c r="Q46" s="145"/>
    </row>
    <row r="47" spans="1:43">
      <c r="A47" s="145" t="s">
        <v>53</v>
      </c>
      <c r="B47" s="223">
        <v>76.87</v>
      </c>
      <c r="C47" s="223">
        <v>40.773000000000003</v>
      </c>
      <c r="D47" s="223">
        <v>21.36</v>
      </c>
      <c r="E47" s="223">
        <v>14.103999999999999</v>
      </c>
      <c r="F47" s="223">
        <v>30.14</v>
      </c>
      <c r="G47" s="223">
        <v>56.84</v>
      </c>
      <c r="H47" s="223">
        <v>72.64</v>
      </c>
      <c r="I47" s="223">
        <v>91.34</v>
      </c>
      <c r="J47" s="223">
        <v>72.92</v>
      </c>
      <c r="K47" s="223">
        <v>70.12</v>
      </c>
      <c r="L47" s="223">
        <v>106.74</v>
      </c>
      <c r="M47" s="223">
        <v>114.24</v>
      </c>
      <c r="N47" s="223">
        <v>100.46</v>
      </c>
      <c r="Q47" s="215"/>
    </row>
    <row r="48" spans="1:43">
      <c r="A48" s="145" t="s">
        <v>54</v>
      </c>
      <c r="B48" s="223">
        <v>2.97</v>
      </c>
      <c r="C48" s="223">
        <v>4.0330000000000004</v>
      </c>
      <c r="D48" s="223">
        <v>7.12</v>
      </c>
      <c r="E48" s="223">
        <v>9.5299999999999994</v>
      </c>
      <c r="F48" s="223">
        <v>8.99</v>
      </c>
      <c r="G48" s="223">
        <v>5.54</v>
      </c>
      <c r="H48" s="223">
        <v>3.41</v>
      </c>
      <c r="I48" s="223">
        <v>3.41</v>
      </c>
      <c r="J48" s="223">
        <v>4.47</v>
      </c>
      <c r="K48" s="223">
        <v>4.8600000000000003</v>
      </c>
      <c r="L48" s="223">
        <v>4.9829999999999997</v>
      </c>
      <c r="M48" s="223">
        <v>4.16</v>
      </c>
      <c r="N48" s="223">
        <v>4.25</v>
      </c>
      <c r="Q48" s="215"/>
    </row>
    <row r="49" spans="1:17">
      <c r="A49" s="145" t="s">
        <v>55</v>
      </c>
      <c r="B49" s="223">
        <v>3.08</v>
      </c>
      <c r="C49" s="223">
        <v>3.15</v>
      </c>
      <c r="D49" s="223">
        <v>3.41</v>
      </c>
      <c r="E49" s="223">
        <v>5.35</v>
      </c>
      <c r="F49" s="223">
        <v>3.07</v>
      </c>
      <c r="G49" s="223">
        <v>2.6</v>
      </c>
      <c r="H49" s="223">
        <v>2.81</v>
      </c>
      <c r="I49" s="223">
        <v>3.17</v>
      </c>
      <c r="J49" s="223">
        <v>3.62</v>
      </c>
      <c r="K49" s="223">
        <v>5.51</v>
      </c>
      <c r="L49" s="223">
        <v>4.04</v>
      </c>
      <c r="M49" s="223">
        <v>3.64</v>
      </c>
      <c r="N49" s="223">
        <v>3.6</v>
      </c>
      <c r="Q49" s="215"/>
    </row>
    <row r="50" spans="1:17">
      <c r="A50" s="145" t="s">
        <v>56</v>
      </c>
      <c r="B50" s="223">
        <v>-0.08</v>
      </c>
      <c r="C50" s="223">
        <v>-0.09</v>
      </c>
      <c r="D50" s="223">
        <v>-0.05</v>
      </c>
      <c r="E50" s="223">
        <v>-0.13</v>
      </c>
      <c r="F50" s="223">
        <v>-0.06</v>
      </c>
      <c r="G50" s="223">
        <v>-0.11</v>
      </c>
      <c r="H50" s="223">
        <v>-7.0000000000000007E-2</v>
      </c>
      <c r="I50" s="223">
        <v>-0.13</v>
      </c>
      <c r="J50" s="223">
        <v>-0.09</v>
      </c>
      <c r="K50" s="223">
        <v>-7.0000000000000007E-2</v>
      </c>
      <c r="L50" s="223">
        <v>-0.09</v>
      </c>
      <c r="M50" s="223">
        <v>-0.08</v>
      </c>
      <c r="N50" s="223">
        <v>-0.1</v>
      </c>
      <c r="Q50" s="215"/>
    </row>
    <row r="51" spans="1:17">
      <c r="A51" s="145" t="s">
        <v>57</v>
      </c>
      <c r="B51" s="223">
        <v>0</v>
      </c>
      <c r="C51" s="223">
        <v>0</v>
      </c>
      <c r="D51" s="223">
        <v>0</v>
      </c>
      <c r="E51" s="223">
        <v>0</v>
      </c>
      <c r="F51" s="223">
        <v>0</v>
      </c>
      <c r="G51" s="223">
        <v>0</v>
      </c>
      <c r="H51" s="223">
        <v>0</v>
      </c>
      <c r="I51" s="223">
        <v>0</v>
      </c>
      <c r="J51" s="223">
        <v>0</v>
      </c>
      <c r="K51" s="223">
        <v>0</v>
      </c>
      <c r="L51" s="223">
        <v>0</v>
      </c>
      <c r="M51" s="223">
        <v>0</v>
      </c>
      <c r="N51" s="223">
        <v>0</v>
      </c>
      <c r="Q51" s="215"/>
    </row>
    <row r="52" spans="1:17">
      <c r="A52" s="145" t="s">
        <v>58</v>
      </c>
      <c r="B52" s="223">
        <v>0</v>
      </c>
      <c r="C52" s="223">
        <v>0</v>
      </c>
      <c r="D52" s="223">
        <v>0</v>
      </c>
      <c r="E52" s="223">
        <v>0</v>
      </c>
      <c r="F52" s="223">
        <v>0</v>
      </c>
      <c r="G52" s="223">
        <v>0</v>
      </c>
      <c r="H52" s="223">
        <v>0</v>
      </c>
      <c r="I52" s="223">
        <v>0</v>
      </c>
      <c r="J52" s="223">
        <v>0</v>
      </c>
      <c r="K52" s="223">
        <v>0</v>
      </c>
      <c r="L52" s="223">
        <v>0</v>
      </c>
      <c r="M52" s="223">
        <v>0</v>
      </c>
      <c r="N52" s="223">
        <v>0</v>
      </c>
      <c r="Q52" s="215"/>
    </row>
    <row r="53" spans="1:17">
      <c r="A53" s="145" t="s">
        <v>256</v>
      </c>
      <c r="B53" s="223">
        <v>1.88</v>
      </c>
      <c r="C53" s="223">
        <v>1.79</v>
      </c>
      <c r="D53" s="223">
        <v>1.7</v>
      </c>
      <c r="E53" s="223">
        <v>1.54</v>
      </c>
      <c r="F53" s="223">
        <v>1.89</v>
      </c>
      <c r="G53" s="223">
        <v>3.09</v>
      </c>
      <c r="H53" s="223">
        <v>1.66</v>
      </c>
      <c r="I53" s="223">
        <v>1.63</v>
      </c>
      <c r="J53" s="223">
        <v>2.09</v>
      </c>
      <c r="K53" s="223">
        <v>3.03</v>
      </c>
      <c r="L53" s="223">
        <v>3.1629999999999998</v>
      </c>
      <c r="M53" s="223">
        <v>3.68</v>
      </c>
      <c r="N53" s="223">
        <v>3.28</v>
      </c>
      <c r="Q53" s="215"/>
    </row>
    <row r="54" spans="1:17">
      <c r="A54" s="145" t="s">
        <v>254</v>
      </c>
      <c r="B54" s="223">
        <v>0.04</v>
      </c>
      <c r="C54" s="223">
        <v>0.02</v>
      </c>
      <c r="D54" s="223">
        <v>0.03</v>
      </c>
      <c r="E54" s="223">
        <v>0.03</v>
      </c>
      <c r="F54" s="223">
        <v>0.03</v>
      </c>
      <c r="G54" s="223">
        <v>0.04</v>
      </c>
      <c r="H54" s="223">
        <v>0.03</v>
      </c>
      <c r="I54" s="223">
        <v>0.03</v>
      </c>
      <c r="J54" s="223">
        <v>0.04</v>
      </c>
      <c r="K54" s="223">
        <v>0.06</v>
      </c>
      <c r="L54" s="223">
        <v>0.06</v>
      </c>
      <c r="M54" s="223">
        <v>7.0000000000000007E-2</v>
      </c>
      <c r="N54" s="223">
        <v>0.08</v>
      </c>
      <c r="Q54" s="215"/>
    </row>
    <row r="55" spans="1:17">
      <c r="A55" s="145" t="s">
        <v>59</v>
      </c>
      <c r="B55" s="223">
        <v>-0.14000000000000001</v>
      </c>
      <c r="C55" s="223">
        <v>-0.09</v>
      </c>
      <c r="D55" s="223">
        <v>-0.02</v>
      </c>
      <c r="E55" s="223">
        <v>-0.02</v>
      </c>
      <c r="F55" s="223">
        <v>-0.06</v>
      </c>
      <c r="G55" s="223">
        <v>-0.09</v>
      </c>
      <c r="H55" s="223">
        <v>-0.08</v>
      </c>
      <c r="I55" s="223">
        <v>-0.08</v>
      </c>
      <c r="J55" s="223">
        <v>-0.11</v>
      </c>
      <c r="K55" s="223">
        <v>-0.12</v>
      </c>
      <c r="L55" s="223">
        <v>-0.53</v>
      </c>
      <c r="M55" s="223">
        <v>-1.05</v>
      </c>
      <c r="N55" s="223">
        <v>-0.73</v>
      </c>
      <c r="Q55" s="215"/>
    </row>
    <row r="56" spans="1:17">
      <c r="A56" s="145" t="s">
        <v>60</v>
      </c>
      <c r="B56" s="223">
        <v>0.4</v>
      </c>
      <c r="C56" s="223">
        <v>0.32</v>
      </c>
      <c r="D56" s="223">
        <v>0.3</v>
      </c>
      <c r="E56" s="223">
        <v>0.51</v>
      </c>
      <c r="F56" s="223">
        <v>0.38</v>
      </c>
      <c r="G56" s="223">
        <v>0.36</v>
      </c>
      <c r="H56" s="223">
        <v>0.3</v>
      </c>
      <c r="I56" s="223">
        <v>0.45</v>
      </c>
      <c r="J56" s="223">
        <v>0.44</v>
      </c>
      <c r="K56" s="223">
        <v>0.43</v>
      </c>
      <c r="L56" s="223">
        <v>0.31</v>
      </c>
      <c r="M56" s="223">
        <v>0.4</v>
      </c>
      <c r="N56" s="223">
        <v>0.68</v>
      </c>
      <c r="Q56" s="215"/>
    </row>
    <row r="57" spans="1:17">
      <c r="A57" s="145" t="s">
        <v>61</v>
      </c>
      <c r="B57" s="223">
        <v>0.35</v>
      </c>
      <c r="C57" s="223">
        <v>0.3</v>
      </c>
      <c r="D57" s="223">
        <v>0.25</v>
      </c>
      <c r="E57" s="223">
        <v>0.24</v>
      </c>
      <c r="F57" s="223">
        <v>-0.01</v>
      </c>
      <c r="G57" s="223">
        <v>0.02</v>
      </c>
      <c r="H57" s="223">
        <v>0.09</v>
      </c>
      <c r="I57" s="223">
        <v>0.19</v>
      </c>
      <c r="J57" s="223">
        <v>0.46</v>
      </c>
      <c r="K57" s="223">
        <v>0.67</v>
      </c>
      <c r="L57" s="223">
        <v>0.1</v>
      </c>
      <c r="M57" s="223">
        <v>0.12</v>
      </c>
      <c r="N57" s="223">
        <v>0.37</v>
      </c>
      <c r="Q57" s="215"/>
    </row>
    <row r="58" spans="1:17">
      <c r="A58" s="145" t="s">
        <v>22</v>
      </c>
      <c r="B58" s="223">
        <v>-0.09</v>
      </c>
      <c r="C58" s="223">
        <v>-0.14000000000000001</v>
      </c>
      <c r="D58" s="223">
        <v>-0.13</v>
      </c>
      <c r="E58" s="223">
        <v>-0.12</v>
      </c>
      <c r="F58" s="223">
        <v>-0.13</v>
      </c>
      <c r="G58" s="223">
        <v>-0.11</v>
      </c>
      <c r="H58" s="223">
        <v>-0.09</v>
      </c>
      <c r="I58" s="223">
        <v>-0.1</v>
      </c>
      <c r="J58" s="223">
        <v>-0.11</v>
      </c>
      <c r="K58" s="223">
        <v>-0.11</v>
      </c>
      <c r="L58" s="223">
        <v>-0.12</v>
      </c>
      <c r="M58" s="223">
        <v>-0.11</v>
      </c>
      <c r="N58" s="223">
        <v>-0.12</v>
      </c>
      <c r="Q58" s="215"/>
    </row>
    <row r="59" spans="1:17">
      <c r="A59" s="145" t="s">
        <v>62</v>
      </c>
      <c r="B59" s="223">
        <v>0.35</v>
      </c>
      <c r="C59" s="223">
        <v>0.33</v>
      </c>
      <c r="D59" s="223">
        <v>0.19</v>
      </c>
      <c r="E59" s="223">
        <v>0.16</v>
      </c>
      <c r="F59" s="223">
        <v>0.15</v>
      </c>
      <c r="G59" s="223">
        <v>0.15</v>
      </c>
      <c r="H59" s="223">
        <v>0.31</v>
      </c>
      <c r="I59" s="223">
        <v>0.16</v>
      </c>
      <c r="J59" s="223">
        <v>0.16</v>
      </c>
      <c r="K59" s="223">
        <v>0.16</v>
      </c>
      <c r="L59" s="223">
        <v>0.19</v>
      </c>
      <c r="M59" s="223">
        <v>0.28000000000000003</v>
      </c>
      <c r="N59" s="223">
        <v>0.26</v>
      </c>
      <c r="Q59" s="215"/>
    </row>
    <row r="60" spans="1:17">
      <c r="A60" s="145" t="s">
        <v>257</v>
      </c>
      <c r="B60" s="223">
        <v>0</v>
      </c>
      <c r="C60" s="223">
        <v>0</v>
      </c>
      <c r="D60" s="223">
        <v>0</v>
      </c>
      <c r="E60" s="223">
        <v>0</v>
      </c>
      <c r="F60" s="223">
        <v>0</v>
      </c>
      <c r="G60" s="223">
        <v>0</v>
      </c>
      <c r="H60" s="223">
        <v>0</v>
      </c>
      <c r="I60" s="223">
        <v>0</v>
      </c>
      <c r="J60" s="223">
        <v>0</v>
      </c>
      <c r="K60" s="223">
        <v>0</v>
      </c>
      <c r="L60" s="223">
        <v>0</v>
      </c>
      <c r="M60" s="223">
        <v>0</v>
      </c>
      <c r="N60" s="223">
        <v>0</v>
      </c>
      <c r="Q60" s="215"/>
    </row>
    <row r="61" spans="1:17">
      <c r="A61" s="145" t="s">
        <v>63</v>
      </c>
      <c r="B61" s="223">
        <v>0.02</v>
      </c>
      <c r="C61" s="223">
        <v>0.04</v>
      </c>
      <c r="D61" s="223">
        <v>0.03</v>
      </c>
      <c r="E61" s="223">
        <v>0.03</v>
      </c>
      <c r="F61" s="223">
        <v>0.05</v>
      </c>
      <c r="G61" s="223">
        <v>0.04</v>
      </c>
      <c r="H61" s="223">
        <v>0.06</v>
      </c>
      <c r="I61" s="223">
        <v>0.04</v>
      </c>
      <c r="J61" s="223">
        <v>0.04</v>
      </c>
      <c r="K61" s="223">
        <v>0.06</v>
      </c>
      <c r="L61" s="223">
        <v>0.06</v>
      </c>
      <c r="M61" s="223">
        <v>0.01</v>
      </c>
      <c r="N61" s="223">
        <v>0.05</v>
      </c>
      <c r="Q61" s="215"/>
    </row>
    <row r="62" spans="1:17">
      <c r="A62" s="145" t="s">
        <v>255</v>
      </c>
      <c r="B62" s="223">
        <v>0</v>
      </c>
      <c r="C62" s="223">
        <v>0</v>
      </c>
      <c r="D62" s="223">
        <v>0</v>
      </c>
      <c r="E62" s="223">
        <v>0</v>
      </c>
      <c r="F62" s="223">
        <v>0</v>
      </c>
      <c r="G62" s="223">
        <v>0</v>
      </c>
      <c r="H62" s="223">
        <v>0</v>
      </c>
      <c r="I62" s="223">
        <v>0</v>
      </c>
      <c r="J62" s="223">
        <v>0</v>
      </c>
      <c r="K62" s="223">
        <v>0</v>
      </c>
      <c r="L62" s="223">
        <v>0</v>
      </c>
      <c r="M62" s="223">
        <v>0</v>
      </c>
      <c r="N62" s="223">
        <v>0</v>
      </c>
      <c r="Q62" s="215"/>
    </row>
    <row r="63" spans="1:17">
      <c r="A63" s="145" t="s">
        <v>237</v>
      </c>
      <c r="B63" s="223">
        <v>0</v>
      </c>
      <c r="C63" s="223">
        <v>0</v>
      </c>
      <c r="D63" s="223">
        <v>0</v>
      </c>
      <c r="E63" s="223">
        <v>0</v>
      </c>
      <c r="F63" s="223">
        <v>0</v>
      </c>
      <c r="G63" s="223">
        <v>0</v>
      </c>
      <c r="H63" s="223">
        <v>0</v>
      </c>
      <c r="I63" s="223">
        <v>0</v>
      </c>
      <c r="J63" s="223">
        <v>0</v>
      </c>
      <c r="K63" s="223">
        <v>0</v>
      </c>
      <c r="L63" s="223">
        <v>0</v>
      </c>
      <c r="M63" s="223">
        <v>0</v>
      </c>
      <c r="N63" s="223">
        <v>0</v>
      </c>
      <c r="Q63" s="215"/>
    </row>
    <row r="64" spans="1:17">
      <c r="A64" s="145" t="s">
        <v>238</v>
      </c>
      <c r="B64" s="223">
        <v>0</v>
      </c>
      <c r="C64" s="223">
        <v>0</v>
      </c>
      <c r="D64" s="223">
        <v>0</v>
      </c>
      <c r="E64" s="223">
        <v>0</v>
      </c>
      <c r="F64" s="223">
        <v>0</v>
      </c>
      <c r="G64" s="223">
        <v>0</v>
      </c>
      <c r="H64" s="223">
        <v>0</v>
      </c>
      <c r="I64" s="223">
        <v>0</v>
      </c>
      <c r="J64" s="223">
        <v>0</v>
      </c>
      <c r="K64" s="223">
        <v>0</v>
      </c>
      <c r="L64" s="223">
        <v>0</v>
      </c>
      <c r="M64" s="223">
        <v>0</v>
      </c>
      <c r="N64" s="223">
        <v>0</v>
      </c>
      <c r="Q64" s="215"/>
    </row>
    <row r="65" spans="1:17">
      <c r="A65" s="145" t="s">
        <v>239</v>
      </c>
      <c r="B65" s="223">
        <v>0</v>
      </c>
      <c r="C65" s="223">
        <v>0</v>
      </c>
      <c r="D65" s="223">
        <v>0</v>
      </c>
      <c r="E65" s="223">
        <v>0</v>
      </c>
      <c r="F65" s="223">
        <v>0</v>
      </c>
      <c r="G65" s="223">
        <v>0</v>
      </c>
      <c r="H65" s="223">
        <v>0</v>
      </c>
      <c r="I65" s="223">
        <v>0</v>
      </c>
      <c r="J65" s="223">
        <v>0</v>
      </c>
      <c r="K65" s="223">
        <v>0</v>
      </c>
      <c r="L65" s="223">
        <v>0</v>
      </c>
      <c r="M65" s="223">
        <v>0</v>
      </c>
      <c r="N65" s="223">
        <v>0</v>
      </c>
      <c r="O65" s="166">
        <f>(N71/M71-1)</f>
        <v>-0.10611984361286197</v>
      </c>
      <c r="P65" s="166">
        <f>(N71/B71-1)</f>
        <v>0.30830316477869912</v>
      </c>
      <c r="Q65" s="215"/>
    </row>
    <row r="66" spans="1:17">
      <c r="A66" s="145" t="s">
        <v>258</v>
      </c>
      <c r="B66" s="223">
        <v>-0.59</v>
      </c>
      <c r="C66" s="223">
        <v>-0.6</v>
      </c>
      <c r="D66" s="223">
        <v>-0.56000000000000005</v>
      </c>
      <c r="E66" s="223">
        <v>-0.67</v>
      </c>
      <c r="F66" s="223">
        <v>-0.67</v>
      </c>
      <c r="G66" s="223">
        <v>-0.62</v>
      </c>
      <c r="H66" s="223">
        <v>-0.57599999999999996</v>
      </c>
      <c r="I66" s="223">
        <v>-0.56999999999999995</v>
      </c>
      <c r="J66" s="223">
        <v>-0.63</v>
      </c>
      <c r="K66" s="223">
        <v>-0.68</v>
      </c>
      <c r="L66" s="223">
        <v>-0.61</v>
      </c>
      <c r="M66" s="223">
        <v>-0.55000000000000004</v>
      </c>
      <c r="N66" s="223">
        <v>-1.1000000000000001</v>
      </c>
      <c r="Q66" s="215"/>
    </row>
    <row r="67" spans="1:17">
      <c r="A67" s="145" t="s">
        <v>259</v>
      </c>
      <c r="B67" s="223">
        <v>0.02</v>
      </c>
      <c r="C67" s="223">
        <v>0</v>
      </c>
      <c r="D67" s="223">
        <v>0</v>
      </c>
      <c r="E67" s="223">
        <v>0.01</v>
      </c>
      <c r="F67" s="223">
        <v>0.01</v>
      </c>
      <c r="G67" s="223">
        <v>0.01</v>
      </c>
      <c r="H67" s="223">
        <v>1.4E-2</v>
      </c>
      <c r="I67" s="223">
        <v>0.04</v>
      </c>
      <c r="J67" s="223">
        <v>0.02</v>
      </c>
      <c r="K67" s="223">
        <v>0.03</v>
      </c>
      <c r="L67" s="223">
        <v>0.02</v>
      </c>
      <c r="M67" s="223">
        <v>0.04</v>
      </c>
      <c r="N67" s="223">
        <v>0.02</v>
      </c>
      <c r="Q67" s="215"/>
    </row>
    <row r="68" spans="1:17">
      <c r="A68" s="145" t="s">
        <v>260</v>
      </c>
      <c r="B68" s="223">
        <v>0.54</v>
      </c>
      <c r="C68" s="223">
        <v>0.56999999999999995</v>
      </c>
      <c r="D68" s="223">
        <v>0.51</v>
      </c>
      <c r="E68" s="223">
        <v>0.62</v>
      </c>
      <c r="F68" s="223">
        <v>0.62</v>
      </c>
      <c r="G68" s="223">
        <v>0.52</v>
      </c>
      <c r="H68" s="223">
        <v>0.53</v>
      </c>
      <c r="I68" s="223">
        <v>0.5</v>
      </c>
      <c r="J68" s="223">
        <v>0.54</v>
      </c>
      <c r="K68" s="223">
        <v>0.59</v>
      </c>
      <c r="L68" s="223">
        <v>0.56000000000000005</v>
      </c>
      <c r="M68" s="223">
        <v>0.48</v>
      </c>
      <c r="N68" s="223">
        <v>1.02</v>
      </c>
      <c r="Q68" s="215"/>
    </row>
    <row r="69" spans="1:17">
      <c r="A69" s="145" t="s">
        <v>261</v>
      </c>
      <c r="B69" s="223">
        <v>0.01</v>
      </c>
      <c r="C69" s="223">
        <v>0.01</v>
      </c>
      <c r="D69" s="223">
        <v>0.01</v>
      </c>
      <c r="E69" s="223">
        <v>0.01</v>
      </c>
      <c r="F69" s="223">
        <v>0.01</v>
      </c>
      <c r="G69" s="223">
        <v>0.01</v>
      </c>
      <c r="H69" s="223">
        <v>0.01</v>
      </c>
      <c r="I69" s="223">
        <v>0.01</v>
      </c>
      <c r="J69" s="223">
        <v>0.01</v>
      </c>
      <c r="K69" s="223">
        <v>0.01</v>
      </c>
      <c r="L69" s="223">
        <v>0.01</v>
      </c>
      <c r="M69" s="223">
        <v>0.01</v>
      </c>
      <c r="N69" s="223">
        <v>0.02</v>
      </c>
      <c r="Q69" s="215"/>
    </row>
    <row r="70" spans="1:17">
      <c r="A70" s="145" t="s">
        <v>285</v>
      </c>
      <c r="B70" s="235"/>
      <c r="C70" s="241">
        <v>-0.01</v>
      </c>
      <c r="D70" s="241">
        <v>-0.01</v>
      </c>
      <c r="E70" s="241">
        <v>-0.01</v>
      </c>
      <c r="F70" s="241">
        <v>-0.01</v>
      </c>
      <c r="G70" s="241">
        <v>-0.01</v>
      </c>
      <c r="H70" s="241">
        <v>0</v>
      </c>
      <c r="I70" s="241">
        <v>-0.01</v>
      </c>
      <c r="J70" s="241">
        <v>-0.01</v>
      </c>
      <c r="K70" s="241">
        <v>-0.01</v>
      </c>
      <c r="L70" s="241">
        <v>-0.01</v>
      </c>
      <c r="M70" s="241">
        <v>-0.01</v>
      </c>
      <c r="N70" s="241">
        <v>-0.01</v>
      </c>
      <c r="Q70" s="215"/>
    </row>
    <row r="71" spans="1:17">
      <c r="A71" s="219" t="s">
        <v>64</v>
      </c>
      <c r="B71" s="227">
        <v>85.63</v>
      </c>
      <c r="C71" s="227">
        <v>50.41</v>
      </c>
      <c r="D71" s="227">
        <v>34.14</v>
      </c>
      <c r="E71" s="227">
        <v>31.18</v>
      </c>
      <c r="F71" s="227">
        <v>44.4</v>
      </c>
      <c r="G71" s="227">
        <v>68.28</v>
      </c>
      <c r="H71" s="227">
        <v>81.05</v>
      </c>
      <c r="I71" s="227">
        <v>100.08</v>
      </c>
      <c r="J71" s="227">
        <v>83.860000000000014</v>
      </c>
      <c r="K71" s="227">
        <v>84.54</v>
      </c>
      <c r="L71" s="227">
        <v>118.88</v>
      </c>
      <c r="M71" s="227">
        <v>125.33</v>
      </c>
      <c r="N71" s="227">
        <v>112.03</v>
      </c>
    </row>
    <row r="72" spans="1:17">
      <c r="A72" s="66"/>
      <c r="B72" s="66"/>
      <c r="C72" s="66"/>
      <c r="D72" s="66"/>
      <c r="E72" s="66"/>
      <c r="F72" s="66"/>
      <c r="G72" s="66"/>
      <c r="H72" s="66"/>
      <c r="I72" s="66"/>
      <c r="J72" s="66"/>
      <c r="K72" s="66"/>
      <c r="L72" s="66"/>
      <c r="M72" s="66"/>
      <c r="N72" s="66"/>
    </row>
    <row r="73" spans="1:17">
      <c r="N73" s="224">
        <f>N71/M71-1</f>
        <v>-0.10611984361286197</v>
      </c>
    </row>
    <row r="74" spans="1:17">
      <c r="L74" s="66"/>
      <c r="N74" s="224">
        <f>N71/B71-1</f>
        <v>0.30830316477869912</v>
      </c>
    </row>
    <row r="80" spans="1:17">
      <c r="A80" s="214" t="s">
        <v>18</v>
      </c>
      <c r="B80" s="214"/>
      <c r="C80" s="214"/>
      <c r="D80" s="93"/>
      <c r="E80" s="94"/>
      <c r="F80" s="94"/>
      <c r="G80" s="94"/>
      <c r="H80" s="94"/>
      <c r="I80" s="94"/>
      <c r="J80" s="94"/>
      <c r="K80" s="94"/>
      <c r="L80" s="94"/>
      <c r="M80" s="94"/>
      <c r="N80" s="94"/>
    </row>
    <row r="81" spans="1:16">
      <c r="A81" s="90"/>
      <c r="B81" s="95" t="str">
        <f>MID(B43,6,1)</f>
        <v>E</v>
      </c>
      <c r="C81" s="95" t="str">
        <f t="shared" ref="C81:N81" si="0">MID(C43,6,1)</f>
        <v>F</v>
      </c>
      <c r="D81" s="95" t="str">
        <f t="shared" si="0"/>
        <v>M</v>
      </c>
      <c r="E81" s="95" t="str">
        <f t="shared" si="0"/>
        <v>A</v>
      </c>
      <c r="F81" s="95" t="str">
        <f t="shared" si="0"/>
        <v>M</v>
      </c>
      <c r="G81" s="95" t="str">
        <f t="shared" si="0"/>
        <v>J</v>
      </c>
      <c r="H81" s="95" t="str">
        <f t="shared" si="0"/>
        <v>J</v>
      </c>
      <c r="I81" s="95" t="str">
        <f t="shared" si="0"/>
        <v>A</v>
      </c>
      <c r="J81" s="95" t="str">
        <f t="shared" si="0"/>
        <v>S</v>
      </c>
      <c r="K81" s="95" t="str">
        <f t="shared" si="0"/>
        <v>O</v>
      </c>
      <c r="L81" s="95" t="str">
        <f t="shared" si="0"/>
        <v>N</v>
      </c>
      <c r="M81" s="95" t="str">
        <f t="shared" si="0"/>
        <v>D</v>
      </c>
      <c r="N81" s="95" t="str">
        <f t="shared" si="0"/>
        <v>E</v>
      </c>
    </row>
    <row r="82" spans="1:16">
      <c r="A82" s="91" t="s">
        <v>20</v>
      </c>
      <c r="B82" s="96">
        <f>VLOOKUP("Restricciones PBF",$A$45:$N$71,2,FALSE)</f>
        <v>2.97</v>
      </c>
      <c r="C82" s="96">
        <f>VLOOKUP("Restricciones PBF",$A$45:$N$71,3,FALSE)</f>
        <v>4.0330000000000004</v>
      </c>
      <c r="D82" s="96">
        <f>VLOOKUP("Restricciones PBF",$A$45:$N$71,4,FALSE)</f>
        <v>7.12</v>
      </c>
      <c r="E82" s="96">
        <f>VLOOKUP("Restricciones PBF",$A$45:$N$71,5,FALSE)</f>
        <v>9.5299999999999994</v>
      </c>
      <c r="F82" s="96">
        <f>VLOOKUP("Restricciones PBF",$A$45:$N$71,6,FALSE)</f>
        <v>8.99</v>
      </c>
      <c r="G82" s="96">
        <f>VLOOKUP("Restricciones PBF",$A$45:$N$71,7,FALSE)</f>
        <v>5.54</v>
      </c>
      <c r="H82" s="96">
        <f>VLOOKUP("Restricciones PBF",$A$45:$N$71,8,FALSE)</f>
        <v>3.41</v>
      </c>
      <c r="I82" s="96">
        <f>VLOOKUP("Restricciones PBF",$A$45:$N$71,9,FALSE)</f>
        <v>3.41</v>
      </c>
      <c r="J82" s="96">
        <f>VLOOKUP("Restricciones PBF",$A$45:$N$71,10,FALSE)</f>
        <v>4.47</v>
      </c>
      <c r="K82" s="96">
        <f>VLOOKUP("Restricciones PBF",$A$45:$N$71,11,FALSE)</f>
        <v>4.8600000000000003</v>
      </c>
      <c r="L82" s="96">
        <f>VLOOKUP("Restricciones PBF",$A$45:$N$71,12,FALSE)</f>
        <v>4.9829999999999997</v>
      </c>
      <c r="M82" s="96">
        <f>VLOOKUP("Restricciones PBF",$A$45:$N$71,13,FALSE)</f>
        <v>4.16</v>
      </c>
      <c r="N82" s="96">
        <f>VLOOKUP("Restricciones PBF",$A$45:$N$71,14,FALSE)</f>
        <v>4.25</v>
      </c>
    </row>
    <row r="83" spans="1:16">
      <c r="A83" s="91" t="s">
        <v>24</v>
      </c>
      <c r="B83" s="96">
        <f>VLOOKUP("Restricciones TR",$A$45:$N$71,2,FALSE)</f>
        <v>3.08</v>
      </c>
      <c r="C83" s="96">
        <f>VLOOKUP("Restricciones TR",$A$45:$N$71,3,FALSE)</f>
        <v>3.15</v>
      </c>
      <c r="D83" s="96">
        <f>VLOOKUP("Restricciones TR",$A$45:$N$71,4,FALSE)</f>
        <v>3.41</v>
      </c>
      <c r="E83" s="96">
        <f>VLOOKUP("Restricciones TR",$A$45:$N$71,5,FALSE)</f>
        <v>5.35</v>
      </c>
      <c r="F83" s="96">
        <f>VLOOKUP("Restricciones TR",$A$45:$N$71,6,FALSE)</f>
        <v>3.07</v>
      </c>
      <c r="G83" s="96">
        <f>VLOOKUP("Restricciones TR",$A$45:$N$71,7,FALSE)</f>
        <v>2.6</v>
      </c>
      <c r="H83" s="96">
        <f>VLOOKUP("Restricciones TR",$A$45:$N$71,8,FALSE)</f>
        <v>2.81</v>
      </c>
      <c r="I83" s="96">
        <f>VLOOKUP("Restricciones TR",$A$45:$N$71,9,FALSE)</f>
        <v>3.17</v>
      </c>
      <c r="J83" s="96">
        <f>VLOOKUP("Restricciones TR",$A$45:$N$71,10,FALSE)</f>
        <v>3.62</v>
      </c>
      <c r="K83" s="96">
        <f>VLOOKUP("Restricciones TR",$A$45:$N$71,11,FALSE)</f>
        <v>5.51</v>
      </c>
      <c r="L83" s="96">
        <f>VLOOKUP("Restricciones TR",$A$45:$N$71,12,FALSE)</f>
        <v>4.04</v>
      </c>
      <c r="M83" s="96">
        <f>VLOOKUP("Restricciones TR",$A$45:$N$71,13,FALSE)</f>
        <v>3.64</v>
      </c>
      <c r="N83" s="96">
        <f>VLOOKUP("Restricciones TR",$A$45:$N$71,14,FALSE)</f>
        <v>3.6</v>
      </c>
    </row>
    <row r="84" spans="1:16">
      <c r="A84" s="91" t="s">
        <v>245</v>
      </c>
      <c r="B84" s="96">
        <f>B53+B54+B68+B69</f>
        <v>2.4699999999999998</v>
      </c>
      <c r="C84" s="96">
        <f t="shared" ref="C84:H84" si="1">C53+C54+C68+C69</f>
        <v>2.3899999999999997</v>
      </c>
      <c r="D84" s="96">
        <f t="shared" si="1"/>
        <v>2.25</v>
      </c>
      <c r="E84" s="96">
        <f t="shared" si="1"/>
        <v>2.1999999999999997</v>
      </c>
      <c r="F84" s="96">
        <f t="shared" si="1"/>
        <v>2.5499999999999998</v>
      </c>
      <c r="G84" s="96">
        <f>G53+G54+G68+G69</f>
        <v>3.6599999999999997</v>
      </c>
      <c r="H84" s="96">
        <f t="shared" si="1"/>
        <v>2.2299999999999995</v>
      </c>
      <c r="I84" s="96">
        <f>I53+I54+I68+I69</f>
        <v>2.17</v>
      </c>
      <c r="J84" s="96">
        <f>J53+J54+J68+J69</f>
        <v>2.6799999999999997</v>
      </c>
      <c r="K84" s="96">
        <f t="shared" ref="K84:L84" si="2">K53+K54+K68+K69</f>
        <v>3.6899999999999995</v>
      </c>
      <c r="L84" s="96">
        <f t="shared" si="2"/>
        <v>3.7929999999999997</v>
      </c>
      <c r="M84" s="96">
        <f>M53+M54+M68+M69</f>
        <v>4.24</v>
      </c>
      <c r="N84" s="96">
        <f>N53+N54+N68+N69</f>
        <v>4.3999999999999995</v>
      </c>
    </row>
    <row r="85" spans="1:16">
      <c r="A85" s="91" t="s">
        <v>59</v>
      </c>
      <c r="B85" s="96">
        <f>VLOOKUP("Incumplimiento energía balance",$A$45:$N$71,2,FALSE)</f>
        <v>-0.14000000000000001</v>
      </c>
      <c r="C85" s="96">
        <f>VLOOKUP("Incumplimiento energía balance",$A$45:$N$71,3,FALSE)</f>
        <v>-0.09</v>
      </c>
      <c r="D85" s="96">
        <f>VLOOKUP("Incumplimiento energía balance",$A$45:$N$71,4,FALSE)</f>
        <v>-0.02</v>
      </c>
      <c r="E85" s="96">
        <f>VLOOKUP("Incumplimiento energía balance",$A$45:$N$71,5,FALSE)</f>
        <v>-0.02</v>
      </c>
      <c r="F85" s="96">
        <f>VLOOKUP("Incumplimiento energía balance",$A$45:$N$71,6,FALSE)</f>
        <v>-0.06</v>
      </c>
      <c r="G85" s="96">
        <f>VLOOKUP("Incumplimiento energía balance",$A$45:$N$71,7,FALSE)</f>
        <v>-0.09</v>
      </c>
      <c r="H85" s="96">
        <f>VLOOKUP("Incumplimiento energía balance",$A$45:$N$71,8,FALSE)</f>
        <v>-0.08</v>
      </c>
      <c r="I85" s="96">
        <f>VLOOKUP("Incumplimiento energía balance",$A$45:$N$71,9,FALSE)</f>
        <v>-0.08</v>
      </c>
      <c r="J85" s="96">
        <f>VLOOKUP("Incumplimiento energía balance",$A$45:$N$71,10,FALSE)</f>
        <v>-0.11</v>
      </c>
      <c r="K85" s="96">
        <f>VLOOKUP("Incumplimiento energía balance",$A$45:$N$71,11,FALSE)</f>
        <v>-0.12</v>
      </c>
      <c r="L85" s="96">
        <f>VLOOKUP("Incumplimiento energía balance",$A$45:$N$71,12,FALSE)</f>
        <v>-0.53</v>
      </c>
      <c r="M85" s="96">
        <f>VLOOKUP("Incumplimiento energía balance",$A$45:$N$71,13,FALSE)</f>
        <v>-1.05</v>
      </c>
      <c r="N85" s="96">
        <f>VLOOKUP("Incumplimiento energía balance",$A$45:$N$71,14,FALSE)</f>
        <v>-0.73</v>
      </c>
    </row>
    <row r="86" spans="1:16">
      <c r="A86" s="91" t="s">
        <v>60</v>
      </c>
      <c r="B86" s="96">
        <f>VLOOKUP("Coste desvíos",$A$45:$N$71,2,FALSE)</f>
        <v>0.4</v>
      </c>
      <c r="C86" s="96">
        <f>VLOOKUP("Coste desvíos",$A$45:$N$71,3,FALSE)</f>
        <v>0.32</v>
      </c>
      <c r="D86" s="96">
        <f>VLOOKUP("Coste desvíos",$A$45:$N$71,4,FALSE)</f>
        <v>0.3</v>
      </c>
      <c r="E86" s="96">
        <f>VLOOKUP("Coste desvíos",$A$45:$N$71,5,FALSE)</f>
        <v>0.51</v>
      </c>
      <c r="F86" s="96">
        <f>VLOOKUP("Coste desvíos",$A$45:$N$71,6,FALSE)</f>
        <v>0.38</v>
      </c>
      <c r="G86" s="96">
        <f>VLOOKUP("Coste desvíos",$A$45:$N$71,7,FALSE)</f>
        <v>0.36</v>
      </c>
      <c r="H86" s="96">
        <f>VLOOKUP("Coste desvíos",$A$45:$N$71,8,FALSE)</f>
        <v>0.3</v>
      </c>
      <c r="I86" s="96">
        <f>VLOOKUP("Coste desvíos",$A$45:$N$71,9,FALSE)</f>
        <v>0.45</v>
      </c>
      <c r="J86" s="96">
        <f>VLOOKUP("Coste desvíos",$A$45:$N$71,10,FALSE)</f>
        <v>0.44</v>
      </c>
      <c r="K86" s="96">
        <f>VLOOKUP("Coste desvíos",$A$45:$N$71,11,FALSE)</f>
        <v>0.43</v>
      </c>
      <c r="L86" s="96">
        <f>VLOOKUP("Coste desvíos",$A$45:$N$71,12,FALSE)</f>
        <v>0.31</v>
      </c>
      <c r="M86" s="96">
        <f>VLOOKUP("Coste desvíos",$A$45:$N$71,12,FALSE)</f>
        <v>0.31</v>
      </c>
      <c r="N86" s="96">
        <f>VLOOKUP("Coste desvíos",$A$45:$N$71,14,FALSE)</f>
        <v>0.68</v>
      </c>
    </row>
    <row r="87" spans="1:16">
      <c r="A87" s="91" t="s">
        <v>61</v>
      </c>
      <c r="B87" s="96">
        <f>VLOOKUP("Saldo desvíos",$A$45:$N$71,2,FALSE)</f>
        <v>0.35</v>
      </c>
      <c r="C87" s="96">
        <f>VLOOKUP("Saldo desvíos",$A$45:$N$71,3,FALSE)</f>
        <v>0.3</v>
      </c>
      <c r="D87" s="96">
        <f>VLOOKUP("Saldo desvíos",$A$45:$N$71,4,FALSE)</f>
        <v>0.25</v>
      </c>
      <c r="E87" s="96">
        <f>VLOOKUP("Saldo desvíos",$A$45:$N$71,5,FALSE)</f>
        <v>0.24</v>
      </c>
      <c r="F87" s="96">
        <f>VLOOKUP("Saldo desvíos",$A$45:$N$71,6,FALSE)</f>
        <v>-0.01</v>
      </c>
      <c r="G87" s="96">
        <f>VLOOKUP("Saldo desvíos",$A$45:$N$71,7,FALSE)</f>
        <v>0.02</v>
      </c>
      <c r="H87" s="96">
        <f>VLOOKUP("Saldo desvíos",$A$45:$N$71,8,FALSE)</f>
        <v>0.09</v>
      </c>
      <c r="I87" s="96">
        <f>VLOOKUP("Saldo desvíos",$A$45:$N$71,9,FALSE)</f>
        <v>0.19</v>
      </c>
      <c r="J87" s="96">
        <f>VLOOKUP("Saldo desvíos",$A$45:$N$71,10,FALSE)</f>
        <v>0.46</v>
      </c>
      <c r="K87" s="96">
        <f>VLOOKUP("Saldo desvíos",$A$45:$N$71,11,FALSE)</f>
        <v>0.67</v>
      </c>
      <c r="L87" s="96">
        <f>VLOOKUP("Saldo desvíos",$A$45:$N$71,12,FALSE)</f>
        <v>0.1</v>
      </c>
      <c r="M87" s="96">
        <f>VLOOKUP("Saldo desvíos",$A$45:$N$71,12,FALSE)</f>
        <v>0.1</v>
      </c>
      <c r="N87" s="96">
        <f>VLOOKUP("Saldo desvíos",$A$45:$N$71,14,FALSE)</f>
        <v>0.37</v>
      </c>
    </row>
    <row r="88" spans="1:16">
      <c r="A88" s="91" t="s">
        <v>22</v>
      </c>
      <c r="B88" s="96">
        <f>VLOOKUP("Control del factor de potencia",$A$45:$N$71,2,FALSE)</f>
        <v>-0.09</v>
      </c>
      <c r="C88" s="96">
        <f>VLOOKUP("Control del factor de potencia",$A$45:$N$71,3,FALSE)</f>
        <v>-0.14000000000000001</v>
      </c>
      <c r="D88" s="96">
        <f>VLOOKUP("Control del factor de potencia",$A$45:$N$71,4,FALSE)</f>
        <v>-0.13</v>
      </c>
      <c r="E88" s="96">
        <f>VLOOKUP("Control del factor de potencia",$A$45:$N$71,5,FALSE)</f>
        <v>-0.12</v>
      </c>
      <c r="F88" s="96">
        <f>VLOOKUP("Control del factor de potencia",$A$45:$N$71,6,FALSE)</f>
        <v>-0.13</v>
      </c>
      <c r="G88" s="96">
        <f>VLOOKUP("Control del factor de potencia",$A$45:$N$71,7,FALSE)</f>
        <v>-0.11</v>
      </c>
      <c r="H88" s="96">
        <f>VLOOKUP("Control del factor de potencia",$A$45:$N$71,8,FALSE)</f>
        <v>-0.09</v>
      </c>
      <c r="I88" s="96">
        <f>VLOOKUP("Control del factor de potencia",$A$45:$N$71,9,FALSE)</f>
        <v>-0.1</v>
      </c>
      <c r="J88" s="96">
        <f>VLOOKUP("Control del factor de potencia",$A$45:$N$71,10,FALSE)</f>
        <v>-0.11</v>
      </c>
      <c r="K88" s="96">
        <f>VLOOKUP("Control del factor de potencia",$A$45:$N$71,11,FALSE)</f>
        <v>-0.11</v>
      </c>
      <c r="L88" s="96">
        <f>VLOOKUP("Control del factor de potencia",$A$45:$N$71,12,FALSE)</f>
        <v>-0.12</v>
      </c>
      <c r="M88" s="96">
        <f>VLOOKUP("Control del factor de potencia",$A$45:$N$71,13,FALSE)</f>
        <v>-0.11</v>
      </c>
      <c r="N88" s="96">
        <f>VLOOKUP("Control del factor de potencia",$A$45:$N$71,14,FALSE)</f>
        <v>-0.12</v>
      </c>
    </row>
    <row r="89" spans="1:16">
      <c r="A89" s="91" t="s">
        <v>270</v>
      </c>
      <c r="B89" s="96">
        <f>VLOOKUP("Servicio respuesta activa (potencia)",$A$45:$N$71,2,FALSE)+VLOOKUP("Servicio respuesta activa (I)",$A$45:$N$71,2,FALSE)+VLOOKUP("Ingreso control de tensión",$A$45:$N$71,2,FALSE)</f>
        <v>-0.56999999999999995</v>
      </c>
      <c r="C89" s="96">
        <f>VLOOKUP("Servicio respuesta activa (potencia)",$A$45:$N$71,3,FALSE)+VLOOKUP("Servicio respuesta activa (I)",$A$45:$N$71,3,FALSE)+VLOOKUP("Ingreso control de tensión",$A$45:$N$71,3,FALSE)</f>
        <v>-0.61</v>
      </c>
      <c r="D89" s="96">
        <f>VLOOKUP("Servicio respuesta activa (potencia)",$A$45:$N$71,4,FALSE)+VLOOKUP("Servicio respuesta activa (I)",$A$45:$N$71,4,FALSE)+VLOOKUP("Ingreso control de tensión",$A$45:$N$71,4,FALSE)</f>
        <v>-0.57000000000000006</v>
      </c>
      <c r="E89" s="96">
        <f>VLOOKUP("Servicio respuesta activa (potencia)",$A$45:$N$71,5,FALSE)+VLOOKUP("Servicio respuesta activa (I)",$A$45:$N$71,5,FALSE)+VLOOKUP("Ingreso control de tensión",$A$45:$N$71,5,FALSE)</f>
        <v>-0.67</v>
      </c>
      <c r="F89" s="96">
        <f>VLOOKUP("Servicio respuesta activa (potencia)",$A$45:$N$71,6,FALSE)+VLOOKUP("Servicio respuesta activa (I)",$A$45:$N$71,6,FALSE)+VLOOKUP("Ingreso control de tensión",$A$45:$N$71,6,FALSE)</f>
        <v>-0.67</v>
      </c>
      <c r="G89" s="96">
        <f>VLOOKUP("Servicio respuesta activa (potencia)",$A$45:$N$71,7,FALSE)+VLOOKUP("Servicio respuesta activa (I)",$A$45:$N$71,7,FALSE)+VLOOKUP("Ingreso control de tensión",$A$45:$N$71,7,FALSE)</f>
        <v>-0.62</v>
      </c>
      <c r="H89" s="96">
        <f>VLOOKUP("Servicio respuesta activa (potencia)",$A$45:$N$71,8,FALSE)+VLOOKUP("Servicio respuesta activa (I)",$A$45:$N$71,8,FALSE)+VLOOKUP("Ingreso control de tensión",$A$45:$N$71,8,FALSE)</f>
        <v>-0.56199999999999994</v>
      </c>
      <c r="I89" s="96">
        <f>VLOOKUP("Servicio respuesta activa (potencia)",$A$45:$N$71,9,FALSE)+VLOOKUP("Servicio respuesta activa (I)",$A$45:$N$71,9,FALSE)+VLOOKUP("Ingreso control de tensión",$A$45:$N$71,9,FALSE)</f>
        <v>-0.53999999999999992</v>
      </c>
      <c r="J89" s="96">
        <f>VLOOKUP("Servicio respuesta activa (potencia)",$A$45:$N$71,10,FALSE)+VLOOKUP("Servicio respuesta activa (I)",$A$45:$N$71,10,FALSE)+VLOOKUP("Ingreso control de tensión",$A$45:$N$71,10,FALSE)</f>
        <v>-0.62</v>
      </c>
      <c r="K89" s="96">
        <f>VLOOKUP("Servicio respuesta activa (potencia)",$A$45:$N$71,11,FALSE)+VLOOKUP("Servicio respuesta activa (I)",$A$45:$N$71,11,FALSE)+VLOOKUP("Ingreso control de tensión",$A$45:$N$71,11,FALSE)</f>
        <v>-0.66</v>
      </c>
      <c r="L89" s="96">
        <f>VLOOKUP("Servicio respuesta activa (potencia)",$A$45:$N$71,12,FALSE)+VLOOKUP("Ingreso control de tensión",$A$45:$N$71,12,FALSE)+VLOOKUP("Servicio respuesta activa (I)",$A$45:$N$71,12,FALSE)</f>
        <v>-0.6</v>
      </c>
      <c r="M89" s="96">
        <f>VLOOKUP("Servicio respuesta activa (potencia)",$A$45:$N$71,13,FALSE)+VLOOKUP("Ingreso control de tensión",$A$45:$N$71,13,FALSE)+VLOOKUP("Servicio respuesta activa (I)",$A$45:$N$71,13,FALSE)</f>
        <v>-0.52</v>
      </c>
      <c r="N89" s="96">
        <f>VLOOKUP("Servicio respuesta activa (potencia)",$A$45:$N$71,14,FALSE)+VLOOKUP("Ingreso control de tensión",$A$45:$N$71,14,FALSE)+VLOOKUP("Servicio respuesta activa (I)",$A$45:$N$71,14,FALSE)</f>
        <v>-1.0900000000000001</v>
      </c>
    </row>
    <row r="90" spans="1:16" ht="12" customHeight="1">
      <c r="A90" s="92" t="s">
        <v>63</v>
      </c>
      <c r="B90" s="97">
        <f>VLOOKUP("Saldo PO 14.6",$A$45:$N$71,2,FALSE)</f>
        <v>0.02</v>
      </c>
      <c r="C90" s="97">
        <f>VLOOKUP("Saldo PO 14.6",$A$45:$N$71,3,FALSE)</f>
        <v>0.04</v>
      </c>
      <c r="D90" s="97">
        <f>VLOOKUP("Saldo PO 14.6",$A$45:$N$71,4,FALSE)</f>
        <v>0.03</v>
      </c>
      <c r="E90" s="97">
        <f>VLOOKUP("Saldo PO 14.6",$A$45:$N$71,5,FALSE)</f>
        <v>0.03</v>
      </c>
      <c r="F90" s="97">
        <f>VLOOKUP("Saldo PO 14.6",$A$45:$N$71,6,FALSE)</f>
        <v>0.05</v>
      </c>
      <c r="G90" s="97">
        <f>VLOOKUP("Saldo PO 14.6",$A$45:$N$71,7,FALSE)</f>
        <v>0.04</v>
      </c>
      <c r="H90" s="97">
        <f>VLOOKUP("Saldo PO 14.6",$A$45:$N$71,8,FALSE)</f>
        <v>0.06</v>
      </c>
      <c r="I90" s="97">
        <f>VLOOKUP("Saldo PO 14.6",$A$45:$N$71,9,FALSE)</f>
        <v>0.04</v>
      </c>
      <c r="J90" s="97">
        <f>VLOOKUP("Saldo PO 14.6",$A$45:$N$71,10,FALSE)</f>
        <v>0.04</v>
      </c>
      <c r="K90" s="97">
        <f>VLOOKUP("Saldo PO 14.6",$A$45:$N$71,11,FALSE)</f>
        <v>0.06</v>
      </c>
      <c r="L90" s="97">
        <f>VLOOKUP("Saldo PO 14.6",$A$45:$N$71,12,FALSE)</f>
        <v>0.06</v>
      </c>
      <c r="M90" s="97">
        <f>VLOOKUP("Saldo PO 14.6",$A$45:$N$71,13,FALSE)</f>
        <v>0.01</v>
      </c>
      <c r="N90" s="97">
        <f>VLOOKUP("Saldo PO 14.6",$A$45:$N$71,14,FALSE)</f>
        <v>0.05</v>
      </c>
      <c r="O90" s="166">
        <f>(SUM(N82:N90)/SUM(B82:B90)-1)</f>
        <v>0.34393404004711448</v>
      </c>
      <c r="P90" s="179">
        <f>O90*100</f>
        <v>34.393404004711449</v>
      </c>
    </row>
    <row r="91" spans="1:16">
      <c r="M91" s="66"/>
      <c r="N91" s="66">
        <f>SUM(N82:N90)</f>
        <v>11.41</v>
      </c>
    </row>
    <row r="92" spans="1:16">
      <c r="A92" s="110" t="s">
        <v>43</v>
      </c>
      <c r="B92" s="89"/>
      <c r="C92" s="89"/>
      <c r="D92" s="89"/>
      <c r="E92" s="89"/>
      <c r="F92" s="89"/>
      <c r="G92" s="89"/>
      <c r="H92" s="89"/>
      <c r="I92" s="89"/>
      <c r="J92" s="89"/>
      <c r="K92" s="89"/>
      <c r="L92" s="89"/>
      <c r="N92" s="166"/>
    </row>
    <row r="93" spans="1:16" ht="39.6" customHeight="1">
      <c r="A93" s="172"/>
      <c r="B93" s="174" t="s">
        <v>1</v>
      </c>
      <c r="C93" s="174" t="s">
        <v>2</v>
      </c>
      <c r="D93" s="174" t="s">
        <v>44</v>
      </c>
      <c r="E93" s="174" t="s">
        <v>33</v>
      </c>
      <c r="F93" s="174" t="s">
        <v>233</v>
      </c>
      <c r="G93" s="174" t="s">
        <v>16</v>
      </c>
      <c r="H93" s="174" t="s">
        <v>32</v>
      </c>
      <c r="I93" s="172" t="s">
        <v>21</v>
      </c>
      <c r="J93" s="174" t="s">
        <v>36</v>
      </c>
      <c r="K93" s="172" t="s">
        <v>0</v>
      </c>
      <c r="L93" s="172" t="s">
        <v>125</v>
      </c>
    </row>
    <row r="94" spans="1:16">
      <c r="A94" s="87" t="s">
        <v>34</v>
      </c>
      <c r="B94" s="108">
        <f>VLOOKUP("Mercado Diario",$A$45:$N$61,14,FALSE)</f>
        <v>100.46</v>
      </c>
      <c r="C94" s="108">
        <f>VLOOKUP("Mercado Intradiario",$A$45:$N$61,14,FALSE)</f>
        <v>-0.1</v>
      </c>
      <c r="D94" s="108">
        <f>SUM(B94:C94)</f>
        <v>100.36</v>
      </c>
      <c r="E94" s="108">
        <f>VLOOKUP("Pago capacidad",$A$45:$N$61,14,FALSE)</f>
        <v>0.26</v>
      </c>
      <c r="F94" s="108">
        <f>VLOOKUP("Mecanismo Ajuste RD-L10/2022 Coste OM",$A$45:$N$71,14,FALSE)+VLOOKUP("Mecanismo Ajuste RD-L10/2022 Coste OS",$A$45:$N$71,14,FALSE)+VLOOKUP("Mecanismo Ajuste RD-L10/2022 Ajuste OS",$A$45:$N$71,14,FALSE)</f>
        <v>0</v>
      </c>
      <c r="G94" s="108">
        <f>E466</f>
        <v>11.41</v>
      </c>
      <c r="H94" s="108">
        <f>VLOOKUP("Restricciones PBF",$A$45:$N$61,14,FALSE)</f>
        <v>4.25</v>
      </c>
      <c r="I94" s="108">
        <f>N84</f>
        <v>4.3999999999999995</v>
      </c>
      <c r="J94" s="108">
        <f>N83+N85+N86+N87+N88+N89+N90</f>
        <v>2.76</v>
      </c>
      <c r="K94" s="108">
        <f>N71</f>
        <v>112.03</v>
      </c>
      <c r="L94" s="116">
        <f>K94-SUM(D94:G94)</f>
        <v>0</v>
      </c>
    </row>
    <row r="95" spans="1:16">
      <c r="A95" s="88"/>
      <c r="B95" s="88"/>
      <c r="C95" s="88"/>
      <c r="D95" s="209">
        <f>D94/$K$94</f>
        <v>0.89583147371239846</v>
      </c>
      <c r="E95" s="209">
        <f t="shared" ref="E95:F95" si="3">E94/$K$94</f>
        <v>2.3208069267160584E-3</v>
      </c>
      <c r="F95" s="209">
        <f t="shared" si="3"/>
        <v>0</v>
      </c>
      <c r="G95" s="211">
        <f>G94/$K$94</f>
        <v>0.10184771936088548</v>
      </c>
    </row>
    <row r="96" spans="1:16">
      <c r="A96" s="88" t="s">
        <v>176</v>
      </c>
      <c r="B96" s="88"/>
      <c r="C96" s="88"/>
      <c r="D96" s="88"/>
      <c r="E96" s="88"/>
      <c r="F96" s="88"/>
      <c r="G96" s="88"/>
    </row>
    <row r="97" spans="1:7">
      <c r="A97" s="187"/>
      <c r="B97" s="188"/>
      <c r="C97" s="212" t="str">
        <f>N43</f>
        <v>2025 Enero</v>
      </c>
      <c r="D97" s="172"/>
      <c r="E97" s="187"/>
      <c r="F97" s="188"/>
      <c r="G97" s="180" t="str">
        <f>B43</f>
        <v>2024 Enero</v>
      </c>
    </row>
    <row r="98" spans="1:7">
      <c r="A98" s="142" t="s">
        <v>54</v>
      </c>
      <c r="B98" s="96"/>
      <c r="C98" s="96">
        <f>IF(VLOOKUP(A98,Dat_01!$A$46:$N$71,14,FALSE)=0,"-",VLOOKUP(A98,Dat_01!$A$46:$N$71,14,FALSE)*Dat_01!$N$45)</f>
        <v>91241653.814750001</v>
      </c>
      <c r="D98" s="96"/>
      <c r="E98" s="142" t="s">
        <v>54</v>
      </c>
      <c r="F98" s="96"/>
      <c r="G98" s="96">
        <f>IF(VLOOKUP(E98,Dat_01!$A$45:$N$71,2,FALSE)=0,"-",VLOOKUP(E98,Dat_01!$A$45:$N$71,2,FALSE)*Dat_01!$B$45)</f>
        <v>62535784.808970004</v>
      </c>
    </row>
    <row r="99" spans="1:7">
      <c r="A99" s="142" t="s">
        <v>55</v>
      </c>
      <c r="B99" s="96"/>
      <c r="C99" s="96">
        <f>IF(VLOOKUP(A99,Dat_01!$A$45:$N$71,14,FALSE)=0,"-",VLOOKUP(A99,Dat_01!$A$45:$N$71,14,FALSE)*Dat_01!$N$45)</f>
        <v>77287047.93720001</v>
      </c>
      <c r="D99" s="96"/>
      <c r="E99" s="142" t="s">
        <v>55</v>
      </c>
      <c r="F99" s="96"/>
      <c r="G99" s="96">
        <f>IF(VLOOKUP(E99,Dat_01!$A$45:$N$71,2,FALSE)=0,"-",VLOOKUP(E99,Dat_01!$A$45:$N$71,2,FALSE)*Dat_01!$B$45)</f>
        <v>64851924.98708</v>
      </c>
    </row>
    <row r="100" spans="1:7">
      <c r="A100" s="142" t="s">
        <v>58</v>
      </c>
      <c r="B100" s="96"/>
      <c r="C100" s="96" t="str">
        <f>IF(VLOOKUP(A100,Dat_01!$A$45:$N$71,14,FALSE)=0,"-",VLOOKUP(A100,Dat_01!$A$45:$N$71,14,FALSE)*Dat_01!$N$45)</f>
        <v>-</v>
      </c>
      <c r="D100" s="96"/>
      <c r="E100" s="142" t="s">
        <v>58</v>
      </c>
      <c r="F100" s="96"/>
      <c r="G100" s="96" t="str">
        <f>IF(VLOOKUP(E100,Dat_01!$A$45:$N$71,2,FALSE)=0,"-",VLOOKUP(E100,Dat_01!$A$45:$N$71,2,FALSE)*Dat_01!$B$45)</f>
        <v>-</v>
      </c>
    </row>
    <row r="101" spans="1:7">
      <c r="A101" s="142" t="s">
        <v>299</v>
      </c>
      <c r="B101" s="96"/>
      <c r="C101" s="96">
        <f>IF(VLOOKUP($A$110,Dat_01!$A$45:$N$71,14,FALSE)+VLOOKUP($A$111,Dat_01!$A$45:$N$71,14,FALSE)+VLOOKUP($A$112,Dat_01!$A$45:$N$71,14,FALSE)+VLOOKUP($A$113,Dat_01!$A$45:$N$71,14,FALSE)=0,"-",(VLOOKUP($A$110,Dat_01!$A$45:$N$71,14,FALSE)+VLOOKUP($A$111,Dat_01!$A$45:$N$71,14,FALSE)+VLOOKUP($A$112,Dat_01!$A$45:$N$71,14,FALSE)+VLOOKUP($A$113,Dat_01!$A$45:$N$71,14,FALSE))*Dat_01!$N$45)</f>
        <v>94461947.478799999</v>
      </c>
      <c r="D101" s="96"/>
      <c r="E101" s="142" t="s">
        <v>244</v>
      </c>
      <c r="F101" s="96"/>
      <c r="G101" s="96">
        <f>IF(VLOOKUP($A$110,Dat_01!$A$45:$N$71,2,FALSE)+VLOOKUP($A$111,Dat_01!$A$45:$N$71,2,FALSE)+VLOOKUP($A$112,Dat_01!$A$45:$N$71,2,FALSE)+VLOOKUP($A$113,Dat_01!$A$45:$N$71,2,FALSE)=0,"-",(VLOOKUP($A$110,Dat_01!$A$45:$N$71,2,FALSE)+VLOOKUP($A$111,Dat_01!$A$45:$N$71,2,FALSE)+VLOOKUP($A$112,Dat_01!$A$45:$N$71,2,FALSE)+VLOOKUP($A$113,Dat_01!$A$45:$N$71,2,FALSE))*Dat_01!$B$45)</f>
        <v>52007874.90846999</v>
      </c>
    </row>
    <row r="102" spans="1:7">
      <c r="A102" s="142" t="s">
        <v>60</v>
      </c>
      <c r="B102" s="96"/>
      <c r="C102" s="96">
        <f>IF(VLOOKUP(A102,Dat_01!$A$45:$N$71,14,FALSE)=0,"-",VLOOKUP(A102,Dat_01!$A$45:$N$71,14,FALSE)*Dat_01!$N$45)</f>
        <v>14598664.610360002</v>
      </c>
      <c r="D102" s="96"/>
      <c r="E102" s="142" t="s">
        <v>60</v>
      </c>
      <c r="F102" s="96"/>
      <c r="G102" s="96">
        <f>IF(VLOOKUP(E102,Dat_01!$A$45:$N$71,2,FALSE)=0,"-",VLOOKUP(E102,Dat_01!$A$45:$N$71,2,FALSE)*Dat_01!$B$45)</f>
        <v>8422327.9203999992</v>
      </c>
    </row>
    <row r="103" spans="1:7">
      <c r="A103" s="142" t="s">
        <v>59</v>
      </c>
      <c r="B103" s="96"/>
      <c r="C103" s="96">
        <f>IF(VLOOKUP(A103,Dat_01!$A$45:$N$71,14,FALSE)=0,"-",VLOOKUP(A103,Dat_01!$A$45:$N$71,14,FALSE)*Dat_01!$N$45)</f>
        <v>-15672095.83171</v>
      </c>
      <c r="D103" s="96"/>
      <c r="E103" s="142" t="s">
        <v>59</v>
      </c>
      <c r="F103" s="96"/>
      <c r="G103" s="96">
        <f>IF(VLOOKUP(E103,Dat_01!$A$45:$N$71,2,FALSE)=0,"-",VLOOKUP(E103,Dat_01!$A$45:$N$71,2,FALSE)*Dat_01!$B$45)</f>
        <v>-2947814.77214</v>
      </c>
    </row>
    <row r="104" spans="1:7">
      <c r="A104" s="142" t="s">
        <v>61</v>
      </c>
      <c r="B104" s="96"/>
      <c r="C104" s="96">
        <f>IF(VLOOKUP(A104,Dat_01!$A$45:$N$71,14,FALSE)=0,"-",VLOOKUP(A104,Dat_01!$A$45:$N$71,14,FALSE)*Dat_01!$N$45)</f>
        <v>7943391.0379900001</v>
      </c>
      <c r="D104" s="96"/>
      <c r="E104" s="142" t="s">
        <v>61</v>
      </c>
      <c r="F104" s="96"/>
      <c r="G104" s="96">
        <f>IF(VLOOKUP(E104,Dat_01!$A$45:$N$71,2,FALSE)=0,"-",VLOOKUP(E104,Dat_01!$A$45:$N$71,2,FALSE)*Dat_01!$B$45)</f>
        <v>7369536.9303499991</v>
      </c>
    </row>
    <row r="105" spans="1:7">
      <c r="A105" s="142" t="s">
        <v>63</v>
      </c>
      <c r="B105" s="96"/>
      <c r="C105" s="96">
        <f>IF(VLOOKUP(A105,Dat_01!$A$45:$N$71,14,FALSE)=0,"-",VLOOKUP(A105,Dat_01!$A$45:$N$71,14,FALSE)*Dat_01!$N$45)</f>
        <v>1073431.22135</v>
      </c>
      <c r="D105" s="96"/>
      <c r="E105" s="142" t="s">
        <v>63</v>
      </c>
      <c r="F105" s="96"/>
      <c r="G105" s="96">
        <f>IF(VLOOKUP(E105,Dat_01!$A$45:$N$71,2,FALSE)=0,"-",VLOOKUP(E105,Dat_01!$A$45:$N$71,2,FALSE)*Dat_01!$B$45)</f>
        <v>421116.39601999999</v>
      </c>
    </row>
    <row r="106" spans="1:7">
      <c r="A106" s="142" t="s">
        <v>270</v>
      </c>
      <c r="B106" s="96"/>
      <c r="C106" s="96">
        <f>IF(VLOOKUP($A$114,Dat_01!$A$45:$N$71,14,FALSE)+VLOOKUP($A$115,Dat_01!$A$45:$N$71,14,FALSE)+VLOOKUP($A$116,Dat_01!$A$45:$N$71,14,FALSE)=0,"-",(VLOOKUP($A$114,Dat_01!$A$45:$N$71,14,FALSE)+VLOOKUP($A$115,Dat_01!$A$45:$N$71,14,FALSE)+VLOOKUP($A$116,Dat_01!$A$45:$N$71,14,FALSE))*Dat_01!$N$45)</f>
        <v>-23400800.625430003</v>
      </c>
      <c r="D106" s="96"/>
      <c r="E106" s="142" t="s">
        <v>246</v>
      </c>
      <c r="F106" s="96"/>
      <c r="G106" s="96">
        <f>IF(VLOOKUP($A$114,Dat_01!$A$45:$N$71,2,FALSE)+VLOOKUP($A$115,Dat_01!$A$45:$N$71,2,FALSE)+VLOOKUP($A$116,Dat_01!$A$45:$N$71,2,FALSE)=0,"-",(VLOOKUP($A$114,Dat_01!$A$45:$N$71,2,FALSE)+VLOOKUP($A$115,Dat_01!$A$45:$N$71,2,FALSE)+VLOOKUP($A$116,Dat_01!$A$45:$N$71,2,FALSE))*Dat_01!$N$45)</f>
        <v>-12237115.923389999</v>
      </c>
    </row>
    <row r="107" spans="1:7">
      <c r="A107" s="92" t="s">
        <v>22</v>
      </c>
      <c r="B107" s="141"/>
      <c r="C107" s="157">
        <f>IF(VLOOKUP(A107,Dat_01!$A$45:$N$71,14,FALSE)=0,"-",VLOOKUP(A107,Dat_01!$A$45:$N$71,14,FALSE)*Dat_01!$N$45)</f>
        <v>-2576234.9312399998</v>
      </c>
      <c r="D107" s="92"/>
      <c r="E107" s="92" t="s">
        <v>22</v>
      </c>
      <c r="F107" s="92"/>
      <c r="G107" s="157">
        <f>IF(VLOOKUP(E107,Dat_01!$A$45:$N$71,2,FALSE)=0,"-",VLOOKUP(E107,Dat_01!$A$45:$N$71,2,FALSE)*Dat_01!$B$45)</f>
        <v>-1895023.7820899999</v>
      </c>
    </row>
    <row r="109" spans="1:7" ht="12.6" customHeight="1">
      <c r="A109" s="233"/>
    </row>
    <row r="110" spans="1:7" ht="12.6" customHeight="1">
      <c r="A110" s="234" t="s">
        <v>256</v>
      </c>
    </row>
    <row r="111" spans="1:7" ht="12.6" customHeight="1">
      <c r="A111" s="234" t="s">
        <v>254</v>
      </c>
    </row>
    <row r="112" spans="1:7" ht="12.6" customHeight="1">
      <c r="A112" s="234" t="s">
        <v>260</v>
      </c>
    </row>
    <row r="113" spans="1:9" ht="12.6" customHeight="1">
      <c r="A113" s="234" t="s">
        <v>261</v>
      </c>
    </row>
    <row r="114" spans="1:9" ht="12.6" customHeight="1">
      <c r="A114" s="234" t="s">
        <v>258</v>
      </c>
    </row>
    <row r="115" spans="1:9" ht="12.6" customHeight="1">
      <c r="A115" s="234" t="s">
        <v>259</v>
      </c>
    </row>
    <row r="116" spans="1:9" ht="12.6" customHeight="1">
      <c r="A116" s="234" t="str">
        <f>A70</f>
        <v>Ingreso control de tensión</v>
      </c>
    </row>
    <row r="117" spans="1:9">
      <c r="A117" s="88" t="s">
        <v>223</v>
      </c>
      <c r="B117" s="171"/>
      <c r="C117" s="171"/>
    </row>
    <row r="118" spans="1:9">
      <c r="A118" s="240" t="s">
        <v>27</v>
      </c>
      <c r="B118" s="255"/>
      <c r="C118" s="256"/>
    </row>
    <row r="119" spans="1:9">
      <c r="A119" s="242" t="s">
        <v>93</v>
      </c>
      <c r="B119" s="174" t="s">
        <v>263</v>
      </c>
      <c r="C119" s="174" t="s">
        <v>331</v>
      </c>
    </row>
    <row r="120" spans="1:9">
      <c r="A120" s="240" t="s">
        <v>190</v>
      </c>
      <c r="B120" s="237"/>
      <c r="C120" s="237"/>
    </row>
    <row r="121" spans="1:9" ht="22.5">
      <c r="A121" s="235" t="s">
        <v>75</v>
      </c>
      <c r="B121" s="147">
        <v>716.44830000000002</v>
      </c>
      <c r="C121" s="147">
        <v>972.43190000000004</v>
      </c>
      <c r="D121" t="str">
        <f>A121</f>
        <v>Restricciones Técnicas al PBF</v>
      </c>
      <c r="F121" s="167" t="s">
        <v>207</v>
      </c>
      <c r="H121" s="173">
        <f>SUM(B121:B122)</f>
        <v>1262.2192070000001</v>
      </c>
      <c r="I121" s="173">
        <f>SUM(C121:C122)</f>
        <v>1473.4252690000001</v>
      </c>
    </row>
    <row r="122" spans="1:9">
      <c r="A122" s="235" t="s">
        <v>76</v>
      </c>
      <c r="B122" s="147">
        <v>545.77090699999997</v>
      </c>
      <c r="C122" s="147">
        <v>500.99336899999997</v>
      </c>
      <c r="D122" t="s">
        <v>186</v>
      </c>
      <c r="F122" s="168" t="s">
        <v>208</v>
      </c>
      <c r="H122" s="173">
        <f>SUM(B123:B126)</f>
        <v>1170.4726089999999</v>
      </c>
      <c r="I122" s="173">
        <f>SUM(C123:C126)</f>
        <v>1150.8361439999999</v>
      </c>
    </row>
    <row r="123" spans="1:9">
      <c r="A123" s="235" t="s">
        <v>69</v>
      </c>
      <c r="B123" s="147">
        <v>350.55439799999999</v>
      </c>
      <c r="C123" s="147">
        <v>154.700524</v>
      </c>
      <c r="D123" t="str">
        <f>A123</f>
        <v>Regulación secundaria</v>
      </c>
    </row>
    <row r="124" spans="1:9">
      <c r="A124" s="235" t="s">
        <v>3</v>
      </c>
      <c r="B124" s="147">
        <v>362.12784799999997</v>
      </c>
      <c r="C124" s="147">
        <v>520.06039999999996</v>
      </c>
      <c r="D124" t="str">
        <f>A124</f>
        <v>Regulación terciaria</v>
      </c>
    </row>
    <row r="125" spans="1:9">
      <c r="A125" s="145" t="s">
        <v>202</v>
      </c>
      <c r="B125" s="147">
        <f>B318/1000</f>
        <v>381.27075000000002</v>
      </c>
      <c r="C125" s="147">
        <f>N318/1000</f>
        <v>356.33449999999999</v>
      </c>
      <c r="D125" t="s">
        <v>202</v>
      </c>
    </row>
    <row r="126" spans="1:9">
      <c r="A126" s="145" t="s">
        <v>209</v>
      </c>
      <c r="B126" s="147">
        <f>B395/1000</f>
        <v>76.519612999999993</v>
      </c>
      <c r="C126" s="147">
        <f>N395/1000</f>
        <v>119.74072</v>
      </c>
      <c r="D126" t="s">
        <v>211</v>
      </c>
    </row>
    <row r="127" spans="1:9">
      <c r="B127" s="199"/>
      <c r="C127" s="199"/>
    </row>
    <row r="128" spans="1:9">
      <c r="A128" s="88"/>
    </row>
    <row r="130" spans="1:17">
      <c r="A130" s="88" t="s">
        <v>216</v>
      </c>
      <c r="C130" s="169" t="str">
        <f>MID(C132,6,1)</f>
        <v>E</v>
      </c>
      <c r="D130" s="169" t="str">
        <f t="shared" ref="D130:O130" si="4">MID(D132,6,1)</f>
        <v>F</v>
      </c>
      <c r="E130" s="169" t="str">
        <f t="shared" si="4"/>
        <v>M</v>
      </c>
      <c r="F130" s="169" t="str">
        <f t="shared" si="4"/>
        <v>A</v>
      </c>
      <c r="G130" s="169" t="str">
        <f t="shared" si="4"/>
        <v>M</v>
      </c>
      <c r="H130" s="169" t="str">
        <f t="shared" si="4"/>
        <v>J</v>
      </c>
      <c r="I130" s="169" t="str">
        <f t="shared" si="4"/>
        <v>J</v>
      </c>
      <c r="J130" s="169" t="str">
        <f t="shared" si="4"/>
        <v>A</v>
      </c>
      <c r="K130" s="169" t="str">
        <f t="shared" si="4"/>
        <v>S</v>
      </c>
      <c r="L130" s="169" t="str">
        <f t="shared" si="4"/>
        <v>O</v>
      </c>
      <c r="M130" s="169" t="str">
        <f t="shared" si="4"/>
        <v>N</v>
      </c>
      <c r="N130" s="169" t="str">
        <f t="shared" si="4"/>
        <v>D</v>
      </c>
      <c r="O130" s="169" t="str">
        <f t="shared" si="4"/>
        <v>E</v>
      </c>
      <c r="P130" s="140"/>
      <c r="Q130" s="140"/>
    </row>
    <row r="131" spans="1:17">
      <c r="A131" s="143"/>
      <c r="B131" s="143" t="s">
        <v>27</v>
      </c>
      <c r="C131" s="259" t="s">
        <v>128</v>
      </c>
      <c r="D131" s="260"/>
      <c r="E131" s="260"/>
      <c r="F131" s="260"/>
      <c r="G131" s="260"/>
      <c r="H131" s="260"/>
      <c r="I131" s="260"/>
      <c r="J131" s="260"/>
      <c r="K131" s="260"/>
      <c r="L131" s="260"/>
      <c r="M131" s="260"/>
      <c r="N131" s="260"/>
      <c r="O131" s="260"/>
      <c r="P131" s="140"/>
      <c r="Q131" s="140"/>
    </row>
    <row r="132" spans="1:17">
      <c r="A132" s="143"/>
      <c r="B132" s="144" t="s">
        <v>93</v>
      </c>
      <c r="C132" s="172" t="s">
        <v>263</v>
      </c>
      <c r="D132" s="172" t="s">
        <v>265</v>
      </c>
      <c r="E132" s="172" t="s">
        <v>268</v>
      </c>
      <c r="F132" s="172" t="s">
        <v>272</v>
      </c>
      <c r="G132" s="172" t="s">
        <v>276</v>
      </c>
      <c r="H132" s="172" t="s">
        <v>278</v>
      </c>
      <c r="I132" s="172" t="s">
        <v>280</v>
      </c>
      <c r="J132" s="172" t="s">
        <v>282</v>
      </c>
      <c r="K132" s="172" t="s">
        <v>284</v>
      </c>
      <c r="L132" s="172" t="s">
        <v>291</v>
      </c>
      <c r="M132" s="172" t="s">
        <v>294</v>
      </c>
      <c r="N132" s="172" t="s">
        <v>296</v>
      </c>
      <c r="O132" s="172" t="s">
        <v>331</v>
      </c>
      <c r="P132" s="140"/>
      <c r="Q132" s="140"/>
    </row>
    <row r="133" spans="1:17">
      <c r="A133" s="143" t="s">
        <v>126</v>
      </c>
      <c r="B133" s="143" t="s">
        <v>127</v>
      </c>
      <c r="C133" s="170"/>
      <c r="D133" s="170"/>
      <c r="E133" s="170"/>
      <c r="F133" s="170"/>
      <c r="G133" s="170"/>
      <c r="H133" s="170"/>
      <c r="I133" s="170"/>
      <c r="J133" s="170"/>
      <c r="K133" s="170"/>
      <c r="L133" s="170"/>
      <c r="M133" s="170"/>
      <c r="N133" s="170"/>
      <c r="O133" s="170"/>
      <c r="P133" s="216"/>
      <c r="Q133" s="140"/>
    </row>
    <row r="134" spans="1:17">
      <c r="A134" s="263"/>
      <c r="B134" s="145" t="s">
        <v>19</v>
      </c>
      <c r="C134" s="117">
        <v>0</v>
      </c>
      <c r="D134" s="117">
        <v>0</v>
      </c>
      <c r="E134" s="117">
        <v>0</v>
      </c>
      <c r="F134" s="117">
        <v>0</v>
      </c>
      <c r="G134" s="117">
        <v>0</v>
      </c>
      <c r="H134" s="117">
        <v>0</v>
      </c>
      <c r="I134" s="117">
        <v>0</v>
      </c>
      <c r="J134" s="117">
        <v>0</v>
      </c>
      <c r="K134" s="117">
        <v>0</v>
      </c>
      <c r="L134" s="117">
        <v>0</v>
      </c>
      <c r="M134" s="117">
        <v>0</v>
      </c>
      <c r="N134" s="117">
        <v>0</v>
      </c>
      <c r="O134" s="117">
        <v>58.4</v>
      </c>
      <c r="P134" s="216"/>
      <c r="Q134" s="217"/>
    </row>
    <row r="135" spans="1:17">
      <c r="A135" s="263"/>
      <c r="B135" s="145" t="s">
        <v>82</v>
      </c>
      <c r="C135" s="117">
        <v>0</v>
      </c>
      <c r="D135" s="117">
        <v>0</v>
      </c>
      <c r="E135" s="117">
        <v>0</v>
      </c>
      <c r="F135" s="117">
        <v>100</v>
      </c>
      <c r="G135" s="117">
        <v>4370</v>
      </c>
      <c r="H135" s="117">
        <v>0.6</v>
      </c>
      <c r="I135" s="117">
        <v>0</v>
      </c>
      <c r="J135" s="117">
        <v>0</v>
      </c>
      <c r="K135" s="117">
        <v>0</v>
      </c>
      <c r="L135" s="117">
        <v>0</v>
      </c>
      <c r="M135" s="117">
        <v>0</v>
      </c>
      <c r="N135" s="117">
        <v>0</v>
      </c>
      <c r="O135" s="117">
        <v>0</v>
      </c>
      <c r="P135" s="216"/>
      <c r="Q135" s="217"/>
    </row>
    <row r="136" spans="1:17">
      <c r="A136" s="263"/>
      <c r="B136" s="145" t="s">
        <v>78</v>
      </c>
      <c r="C136" s="117">
        <v>0</v>
      </c>
      <c r="D136" s="117">
        <v>14553.4</v>
      </c>
      <c r="E136" s="117">
        <v>691036.7</v>
      </c>
      <c r="F136" s="117">
        <v>1102040.5</v>
      </c>
      <c r="G136" s="117">
        <v>697817.8</v>
      </c>
      <c r="H136" s="117">
        <v>435935.9</v>
      </c>
      <c r="I136" s="117">
        <v>60001.7</v>
      </c>
      <c r="J136" s="117">
        <v>0</v>
      </c>
      <c r="K136" s="117">
        <v>0</v>
      </c>
      <c r="L136" s="117">
        <v>0</v>
      </c>
      <c r="M136" s="117">
        <v>13528</v>
      </c>
      <c r="N136" s="117">
        <v>0</v>
      </c>
      <c r="O136" s="117">
        <v>1486.2</v>
      </c>
      <c r="P136" s="216"/>
      <c r="Q136" s="217"/>
    </row>
    <row r="137" spans="1:17">
      <c r="A137" s="263"/>
      <c r="B137" s="145" t="s">
        <v>79</v>
      </c>
      <c r="C137" s="117">
        <v>152061</v>
      </c>
      <c r="D137" s="117">
        <v>179084</v>
      </c>
      <c r="E137" s="117">
        <v>164083</v>
      </c>
      <c r="F137" s="117">
        <v>190630.2</v>
      </c>
      <c r="G137" s="117">
        <v>178457</v>
      </c>
      <c r="H137" s="117">
        <v>118330</v>
      </c>
      <c r="I137" s="117">
        <v>157282</v>
      </c>
      <c r="J137" s="117">
        <v>161811</v>
      </c>
      <c r="K137" s="117">
        <v>252325.6</v>
      </c>
      <c r="L137" s="117">
        <v>216291.20000000001</v>
      </c>
      <c r="M137" s="117">
        <v>128228.3</v>
      </c>
      <c r="N137" s="117">
        <v>113359.5</v>
      </c>
      <c r="O137" s="117">
        <v>136200</v>
      </c>
      <c r="P137" s="216"/>
      <c r="Q137" s="217"/>
    </row>
    <row r="138" spans="1:17">
      <c r="A138" s="263"/>
      <c r="B138" s="145" t="s">
        <v>90</v>
      </c>
      <c r="C138" s="117">
        <v>0</v>
      </c>
      <c r="D138" s="117">
        <v>0</v>
      </c>
      <c r="E138" s="117">
        <v>0</v>
      </c>
      <c r="F138" s="117">
        <v>0</v>
      </c>
      <c r="G138" s="117">
        <v>0</v>
      </c>
      <c r="H138" s="117">
        <v>0</v>
      </c>
      <c r="I138" s="117">
        <v>0</v>
      </c>
      <c r="J138" s="117">
        <v>0</v>
      </c>
      <c r="K138" s="117">
        <v>0</v>
      </c>
      <c r="L138" s="117">
        <v>0</v>
      </c>
      <c r="M138" s="117">
        <v>0</v>
      </c>
      <c r="N138" s="117">
        <v>0</v>
      </c>
      <c r="O138" s="117">
        <v>0</v>
      </c>
      <c r="P138" s="216"/>
      <c r="Q138" s="217"/>
    </row>
    <row r="139" spans="1:17">
      <c r="A139" s="263"/>
      <c r="B139" s="145" t="s">
        <v>23</v>
      </c>
      <c r="C139" s="117">
        <v>529633</v>
      </c>
      <c r="D139" s="117">
        <v>584373.5</v>
      </c>
      <c r="E139" s="117">
        <v>712135.3</v>
      </c>
      <c r="F139" s="117">
        <v>680753.3</v>
      </c>
      <c r="G139" s="117">
        <v>870770.7</v>
      </c>
      <c r="H139" s="117">
        <v>665201</v>
      </c>
      <c r="I139" s="117">
        <v>684982.3</v>
      </c>
      <c r="J139" s="117">
        <v>699616.5</v>
      </c>
      <c r="K139" s="117">
        <v>690114.2</v>
      </c>
      <c r="L139" s="117">
        <v>768114.9</v>
      </c>
      <c r="M139" s="117">
        <v>887929.3</v>
      </c>
      <c r="N139" s="117">
        <v>742981.5</v>
      </c>
      <c r="O139" s="117">
        <v>683064</v>
      </c>
      <c r="P139" s="216"/>
      <c r="Q139" s="217"/>
    </row>
    <row r="140" spans="1:17">
      <c r="A140" s="263"/>
      <c r="B140" s="145" t="s">
        <v>83</v>
      </c>
      <c r="C140" s="117">
        <v>0</v>
      </c>
      <c r="D140" s="117">
        <v>0</v>
      </c>
      <c r="E140" s="117">
        <v>0</v>
      </c>
      <c r="F140" s="117">
        <v>0</v>
      </c>
      <c r="G140" s="117">
        <v>0</v>
      </c>
      <c r="H140" s="117">
        <v>0</v>
      </c>
      <c r="I140" s="117">
        <v>0</v>
      </c>
      <c r="J140" s="117">
        <v>0</v>
      </c>
      <c r="K140" s="117">
        <v>0</v>
      </c>
      <c r="L140" s="117">
        <v>0</v>
      </c>
      <c r="M140" s="117">
        <v>0</v>
      </c>
      <c r="N140" s="117">
        <v>0</v>
      </c>
      <c r="O140" s="117">
        <v>0</v>
      </c>
      <c r="P140" s="216"/>
      <c r="Q140" s="217"/>
    </row>
    <row r="141" spans="1:17">
      <c r="A141" s="263"/>
      <c r="B141" s="145" t="s">
        <v>84</v>
      </c>
      <c r="C141" s="117">
        <v>0</v>
      </c>
      <c r="D141" s="117">
        <v>0</v>
      </c>
      <c r="E141" s="117">
        <v>0</v>
      </c>
      <c r="F141" s="117">
        <v>0</v>
      </c>
      <c r="G141" s="117">
        <v>0</v>
      </c>
      <c r="H141" s="117">
        <v>0</v>
      </c>
      <c r="I141" s="117">
        <v>0</v>
      </c>
      <c r="J141" s="117">
        <v>0</v>
      </c>
      <c r="K141" s="117">
        <v>0</v>
      </c>
      <c r="L141" s="117">
        <v>0</v>
      </c>
      <c r="M141" s="117">
        <v>0</v>
      </c>
      <c r="N141" s="117">
        <v>0</v>
      </c>
      <c r="O141" s="117">
        <v>0</v>
      </c>
      <c r="P141" s="216"/>
      <c r="Q141" s="217"/>
    </row>
    <row r="142" spans="1:17">
      <c r="A142" s="263"/>
      <c r="B142" s="145" t="s">
        <v>85</v>
      </c>
      <c r="C142" s="117">
        <v>0</v>
      </c>
      <c r="D142" s="117">
        <v>0</v>
      </c>
      <c r="E142" s="117">
        <v>0</v>
      </c>
      <c r="F142" s="117">
        <v>0</v>
      </c>
      <c r="G142" s="117">
        <v>0</v>
      </c>
      <c r="H142" s="117">
        <v>0</v>
      </c>
      <c r="I142" s="117">
        <v>0</v>
      </c>
      <c r="J142" s="117">
        <v>0</v>
      </c>
      <c r="K142" s="117">
        <v>0</v>
      </c>
      <c r="L142" s="117">
        <v>0</v>
      </c>
      <c r="M142" s="117">
        <v>0</v>
      </c>
      <c r="N142" s="117">
        <v>0</v>
      </c>
      <c r="O142" s="117">
        <v>0</v>
      </c>
      <c r="P142" s="216"/>
      <c r="Q142" s="217"/>
    </row>
    <row r="143" spans="1:17">
      <c r="A143" s="263"/>
      <c r="B143" s="145" t="s">
        <v>86</v>
      </c>
      <c r="C143" s="117">
        <v>0</v>
      </c>
      <c r="D143" s="117">
        <v>0</v>
      </c>
      <c r="E143" s="117">
        <v>0</v>
      </c>
      <c r="F143" s="117">
        <v>53.3</v>
      </c>
      <c r="G143" s="117">
        <v>0.2</v>
      </c>
      <c r="H143" s="117">
        <v>0</v>
      </c>
      <c r="I143" s="117">
        <v>0</v>
      </c>
      <c r="J143" s="117">
        <v>0</v>
      </c>
      <c r="K143" s="117">
        <v>0</v>
      </c>
      <c r="L143" s="117">
        <v>3132.9</v>
      </c>
      <c r="M143" s="117">
        <v>987.5</v>
      </c>
      <c r="N143" s="117">
        <v>0</v>
      </c>
      <c r="O143" s="117">
        <v>0</v>
      </c>
      <c r="P143" s="216"/>
      <c r="Q143" s="217"/>
    </row>
    <row r="144" spans="1:17">
      <c r="A144" s="263"/>
      <c r="B144" s="145" t="s">
        <v>87</v>
      </c>
      <c r="C144" s="117">
        <v>0</v>
      </c>
      <c r="D144" s="117">
        <v>0</v>
      </c>
      <c r="E144" s="117">
        <v>0</v>
      </c>
      <c r="F144" s="117">
        <v>676.6</v>
      </c>
      <c r="G144" s="117">
        <v>0</v>
      </c>
      <c r="H144" s="117">
        <v>0</v>
      </c>
      <c r="I144" s="117">
        <v>0</v>
      </c>
      <c r="J144" s="117">
        <v>0</v>
      </c>
      <c r="K144" s="117">
        <v>0</v>
      </c>
      <c r="L144" s="117">
        <v>767.5</v>
      </c>
      <c r="M144" s="117">
        <v>0</v>
      </c>
      <c r="N144" s="117">
        <v>0</v>
      </c>
      <c r="O144" s="117">
        <v>0</v>
      </c>
      <c r="P144" s="216"/>
      <c r="Q144" s="217"/>
    </row>
    <row r="145" spans="1:17">
      <c r="A145" s="263"/>
      <c r="B145" s="145" t="s">
        <v>92</v>
      </c>
      <c r="C145" s="117">
        <v>0</v>
      </c>
      <c r="D145" s="117">
        <v>0</v>
      </c>
      <c r="E145" s="117">
        <v>0</v>
      </c>
      <c r="F145" s="117">
        <v>0</v>
      </c>
      <c r="G145" s="117">
        <v>0</v>
      </c>
      <c r="H145" s="117">
        <v>0</v>
      </c>
      <c r="I145" s="117">
        <v>0</v>
      </c>
      <c r="J145" s="117">
        <v>0</v>
      </c>
      <c r="K145" s="117">
        <v>0</v>
      </c>
      <c r="L145" s="117">
        <v>0</v>
      </c>
      <c r="M145" s="117">
        <v>0</v>
      </c>
      <c r="N145" s="117">
        <v>0</v>
      </c>
      <c r="O145" s="117">
        <v>0</v>
      </c>
      <c r="P145" s="216"/>
      <c r="Q145" s="217"/>
    </row>
    <row r="146" spans="1:17">
      <c r="A146" s="263"/>
      <c r="B146" s="145" t="s">
        <v>80</v>
      </c>
      <c r="C146" s="117">
        <v>0</v>
      </c>
      <c r="D146" s="117">
        <v>12294.2</v>
      </c>
      <c r="E146" s="117">
        <v>879.8</v>
      </c>
      <c r="F146" s="117">
        <v>7545</v>
      </c>
      <c r="G146" s="117">
        <v>0</v>
      </c>
      <c r="H146" s="117">
        <v>0</v>
      </c>
      <c r="I146" s="117">
        <v>6619.1</v>
      </c>
      <c r="J146" s="117">
        <v>0</v>
      </c>
      <c r="K146" s="117">
        <v>184</v>
      </c>
      <c r="L146" s="117">
        <v>230</v>
      </c>
      <c r="M146" s="117">
        <v>6140.4</v>
      </c>
      <c r="N146" s="117">
        <v>918</v>
      </c>
      <c r="O146" s="117">
        <v>0</v>
      </c>
      <c r="P146" s="216"/>
      <c r="Q146" s="217"/>
    </row>
    <row r="147" spans="1:17">
      <c r="A147" s="263"/>
      <c r="B147" s="145" t="s">
        <v>88</v>
      </c>
      <c r="C147" s="117">
        <v>0</v>
      </c>
      <c r="D147" s="117">
        <v>0</v>
      </c>
      <c r="E147" s="117">
        <v>0</v>
      </c>
      <c r="F147" s="117">
        <v>0</v>
      </c>
      <c r="G147" s="117">
        <v>0</v>
      </c>
      <c r="H147" s="117">
        <v>0</v>
      </c>
      <c r="I147" s="117">
        <v>0</v>
      </c>
      <c r="J147" s="117">
        <v>0</v>
      </c>
      <c r="K147" s="117">
        <v>0</v>
      </c>
      <c r="L147" s="117">
        <v>0</v>
      </c>
      <c r="M147" s="117">
        <v>0</v>
      </c>
      <c r="N147" s="117">
        <v>0</v>
      </c>
      <c r="O147" s="117">
        <v>0</v>
      </c>
      <c r="P147" s="216"/>
      <c r="Q147" s="217"/>
    </row>
    <row r="148" spans="1:17">
      <c r="A148" s="263"/>
      <c r="B148" s="145" t="s">
        <v>89</v>
      </c>
      <c r="C148" s="117">
        <v>0</v>
      </c>
      <c r="D148" s="117">
        <v>0</v>
      </c>
      <c r="E148" s="117">
        <v>0</v>
      </c>
      <c r="F148" s="117">
        <v>0</v>
      </c>
      <c r="G148" s="117">
        <v>0</v>
      </c>
      <c r="H148" s="117">
        <v>0</v>
      </c>
      <c r="I148" s="117">
        <v>0</v>
      </c>
      <c r="J148" s="117">
        <v>0</v>
      </c>
      <c r="K148" s="117">
        <v>0</v>
      </c>
      <c r="L148" s="117">
        <v>0</v>
      </c>
      <c r="M148" s="117">
        <v>0</v>
      </c>
      <c r="N148" s="117">
        <v>0</v>
      </c>
      <c r="O148" s="117">
        <v>0</v>
      </c>
      <c r="P148" s="216"/>
      <c r="Q148" s="217"/>
    </row>
    <row r="149" spans="1:17">
      <c r="A149" s="263"/>
      <c r="B149" s="145" t="s">
        <v>91</v>
      </c>
      <c r="C149" s="117">
        <v>0</v>
      </c>
      <c r="D149" s="117">
        <v>0</v>
      </c>
      <c r="E149" s="117">
        <v>0</v>
      </c>
      <c r="F149" s="117">
        <v>0</v>
      </c>
      <c r="G149" s="117">
        <v>0</v>
      </c>
      <c r="H149" s="117">
        <v>0</v>
      </c>
      <c r="I149" s="117">
        <v>0</v>
      </c>
      <c r="J149" s="117">
        <v>0</v>
      </c>
      <c r="K149" s="117">
        <v>0</v>
      </c>
      <c r="L149" s="117">
        <v>0</v>
      </c>
      <c r="M149" s="117">
        <v>0</v>
      </c>
      <c r="N149" s="117">
        <v>0</v>
      </c>
      <c r="O149" s="117">
        <v>0</v>
      </c>
      <c r="P149" s="216"/>
      <c r="Q149" s="217"/>
    </row>
    <row r="150" spans="1:17">
      <c r="A150" s="263"/>
      <c r="B150" s="145" t="s">
        <v>224</v>
      </c>
      <c r="C150" s="117">
        <v>0</v>
      </c>
      <c r="D150" s="117">
        <v>0</v>
      </c>
      <c r="E150" s="117">
        <v>0</v>
      </c>
      <c r="F150" s="117">
        <v>0</v>
      </c>
      <c r="G150" s="117">
        <v>0</v>
      </c>
      <c r="H150" s="117">
        <v>0</v>
      </c>
      <c r="I150" s="117">
        <v>0</v>
      </c>
      <c r="J150" s="117">
        <v>0</v>
      </c>
      <c r="K150" s="117">
        <v>0</v>
      </c>
      <c r="L150" s="117">
        <v>0</v>
      </c>
      <c r="M150" s="117">
        <v>0</v>
      </c>
      <c r="N150" s="117">
        <v>0</v>
      </c>
      <c r="O150" s="117">
        <v>0</v>
      </c>
      <c r="P150" s="216"/>
      <c r="Q150" s="217"/>
    </row>
    <row r="151" spans="1:17">
      <c r="A151" s="263"/>
      <c r="B151" s="145" t="s">
        <v>273</v>
      </c>
      <c r="C151" s="117">
        <v>0</v>
      </c>
      <c r="D151" s="117">
        <v>0</v>
      </c>
      <c r="E151" s="117">
        <v>0</v>
      </c>
      <c r="F151" s="117">
        <v>0</v>
      </c>
      <c r="G151" s="117">
        <v>0</v>
      </c>
      <c r="H151" s="117">
        <v>0</v>
      </c>
      <c r="I151" s="117">
        <v>0</v>
      </c>
      <c r="J151" s="117">
        <v>0</v>
      </c>
      <c r="K151" s="117">
        <v>0</v>
      </c>
      <c r="L151" s="117">
        <v>0</v>
      </c>
      <c r="M151" s="117">
        <v>0</v>
      </c>
      <c r="N151" s="117">
        <v>0</v>
      </c>
      <c r="O151" s="117">
        <v>0</v>
      </c>
      <c r="P151" s="216"/>
      <c r="Q151" s="217"/>
    </row>
    <row r="152" spans="1:17">
      <c r="A152" s="263"/>
      <c r="B152" s="145" t="s">
        <v>274</v>
      </c>
      <c r="C152" s="117">
        <v>0</v>
      </c>
      <c r="D152" s="117">
        <v>0</v>
      </c>
      <c r="E152" s="117">
        <v>0</v>
      </c>
      <c r="F152" s="117">
        <v>0</v>
      </c>
      <c r="G152" s="117">
        <v>0</v>
      </c>
      <c r="H152" s="117">
        <v>0</v>
      </c>
      <c r="I152" s="117">
        <v>0</v>
      </c>
      <c r="J152" s="117">
        <v>0</v>
      </c>
      <c r="K152" s="117">
        <v>0</v>
      </c>
      <c r="L152" s="117">
        <v>0</v>
      </c>
      <c r="M152" s="117">
        <v>0</v>
      </c>
      <c r="N152" s="117">
        <v>0</v>
      </c>
      <c r="O152" s="117">
        <v>0</v>
      </c>
      <c r="P152" s="184">
        <f>O153/C153-1</f>
        <v>0.20407191496477894</v>
      </c>
      <c r="Q152" s="183"/>
    </row>
    <row r="153" spans="1:17">
      <c r="A153" s="262"/>
      <c r="B153" s="220" t="s">
        <v>0</v>
      </c>
      <c r="C153" s="221">
        <v>681694</v>
      </c>
      <c r="D153" s="221">
        <v>790305.1</v>
      </c>
      <c r="E153" s="221">
        <v>1568134.8</v>
      </c>
      <c r="F153" s="221">
        <v>1981798.9</v>
      </c>
      <c r="G153" s="221">
        <v>1751415.7</v>
      </c>
      <c r="H153" s="221">
        <v>1219467.5</v>
      </c>
      <c r="I153" s="221">
        <v>908885.1</v>
      </c>
      <c r="J153" s="221">
        <v>861427.5</v>
      </c>
      <c r="K153" s="221">
        <v>942623.8</v>
      </c>
      <c r="L153" s="221">
        <v>988536.5</v>
      </c>
      <c r="M153" s="221">
        <v>1036813.5</v>
      </c>
      <c r="N153" s="221">
        <v>857259</v>
      </c>
      <c r="O153" s="221">
        <v>820808.6</v>
      </c>
      <c r="P153" s="216"/>
      <c r="Q153" s="184"/>
    </row>
    <row r="154" spans="1:17">
      <c r="A154" s="263"/>
      <c r="B154" s="145" t="s">
        <v>19</v>
      </c>
      <c r="C154" s="117">
        <v>2604.4</v>
      </c>
      <c r="D154" s="117">
        <v>1656.1</v>
      </c>
      <c r="E154" s="117">
        <v>1728.9</v>
      </c>
      <c r="F154" s="117">
        <v>4491.3999999999996</v>
      </c>
      <c r="G154" s="117">
        <v>4948.3999999999996</v>
      </c>
      <c r="H154" s="117">
        <v>4108.3</v>
      </c>
      <c r="I154" s="117">
        <v>3881.8</v>
      </c>
      <c r="J154" s="117">
        <v>2395.8000000000002</v>
      </c>
      <c r="K154" s="117">
        <v>2369.3000000000002</v>
      </c>
      <c r="L154" s="117">
        <v>2467.9</v>
      </c>
      <c r="M154" s="117">
        <v>3355.5</v>
      </c>
      <c r="N154" s="117">
        <v>2291.6999999999998</v>
      </c>
      <c r="O154" s="117">
        <v>1202</v>
      </c>
      <c r="P154" s="216"/>
      <c r="Q154" s="184"/>
    </row>
    <row r="155" spans="1:17">
      <c r="A155" s="263"/>
      <c r="B155" s="145" t="s">
        <v>82</v>
      </c>
      <c r="C155" s="117">
        <v>0</v>
      </c>
      <c r="D155" s="117">
        <v>0</v>
      </c>
      <c r="E155" s="117">
        <v>0</v>
      </c>
      <c r="F155" s="117">
        <v>10002.299999999999</v>
      </c>
      <c r="G155" s="117">
        <v>128</v>
      </c>
      <c r="H155" s="117">
        <v>0</v>
      </c>
      <c r="I155" s="117">
        <v>0</v>
      </c>
      <c r="J155" s="117">
        <v>0</v>
      </c>
      <c r="K155" s="117">
        <v>464</v>
      </c>
      <c r="L155" s="117">
        <v>0</v>
      </c>
      <c r="M155" s="117">
        <v>1125.2</v>
      </c>
      <c r="N155" s="117">
        <v>346.9</v>
      </c>
      <c r="O155" s="117">
        <v>0</v>
      </c>
      <c r="P155" s="216"/>
      <c r="Q155" s="184"/>
    </row>
    <row r="156" spans="1:17">
      <c r="A156" s="263"/>
      <c r="B156" s="145" t="s">
        <v>78</v>
      </c>
      <c r="C156" s="117">
        <v>0</v>
      </c>
      <c r="D156" s="117">
        <v>0</v>
      </c>
      <c r="E156" s="117">
        <v>0</v>
      </c>
      <c r="F156" s="117">
        <v>0</v>
      </c>
      <c r="G156" s="117">
        <v>0</v>
      </c>
      <c r="H156" s="117">
        <v>0</v>
      </c>
      <c r="I156" s="117">
        <v>0</v>
      </c>
      <c r="J156" s="117">
        <v>0</v>
      </c>
      <c r="K156" s="117">
        <v>0</v>
      </c>
      <c r="L156" s="117">
        <v>0</v>
      </c>
      <c r="M156" s="117">
        <v>0</v>
      </c>
      <c r="N156" s="117">
        <v>0</v>
      </c>
      <c r="O156" s="117">
        <v>0</v>
      </c>
      <c r="P156" s="216"/>
      <c r="Q156" s="184"/>
    </row>
    <row r="157" spans="1:17">
      <c r="A157" s="263"/>
      <c r="B157" s="145" t="s">
        <v>79</v>
      </c>
      <c r="C157" s="117">
        <v>0</v>
      </c>
      <c r="D157" s="117">
        <v>0</v>
      </c>
      <c r="E157" s="117">
        <v>0</v>
      </c>
      <c r="F157" s="117">
        <v>0</v>
      </c>
      <c r="G157" s="117">
        <v>0</v>
      </c>
      <c r="H157" s="117">
        <v>0</v>
      </c>
      <c r="I157" s="117">
        <v>0</v>
      </c>
      <c r="J157" s="117">
        <v>0</v>
      </c>
      <c r="K157" s="117">
        <v>0</v>
      </c>
      <c r="L157" s="117">
        <v>0</v>
      </c>
      <c r="M157" s="117">
        <v>0</v>
      </c>
      <c r="N157" s="117">
        <v>0</v>
      </c>
      <c r="O157" s="117">
        <v>0</v>
      </c>
      <c r="P157" s="216"/>
      <c r="Q157" s="184"/>
    </row>
    <row r="158" spans="1:17">
      <c r="A158" s="263"/>
      <c r="B158" s="145" t="s">
        <v>90</v>
      </c>
      <c r="C158" s="117">
        <v>0</v>
      </c>
      <c r="D158" s="117">
        <v>0</v>
      </c>
      <c r="E158" s="117">
        <v>0</v>
      </c>
      <c r="F158" s="117">
        <v>0</v>
      </c>
      <c r="G158" s="117">
        <v>0</v>
      </c>
      <c r="H158" s="117">
        <v>0</v>
      </c>
      <c r="I158" s="117">
        <v>0</v>
      </c>
      <c r="J158" s="117">
        <v>0</v>
      </c>
      <c r="K158" s="117">
        <v>0</v>
      </c>
      <c r="L158" s="117">
        <v>0</v>
      </c>
      <c r="M158" s="117">
        <v>0</v>
      </c>
      <c r="N158" s="117">
        <v>0</v>
      </c>
      <c r="O158" s="117">
        <v>0</v>
      </c>
      <c r="P158" s="216"/>
      <c r="Q158" s="184"/>
    </row>
    <row r="159" spans="1:17">
      <c r="A159" s="263"/>
      <c r="B159" s="145" t="s">
        <v>23</v>
      </c>
      <c r="C159" s="117">
        <v>0</v>
      </c>
      <c r="D159" s="117">
        <v>0</v>
      </c>
      <c r="E159" s="117">
        <v>0</v>
      </c>
      <c r="F159" s="117">
        <v>0</v>
      </c>
      <c r="G159" s="117">
        <v>0</v>
      </c>
      <c r="H159" s="117">
        <v>0</v>
      </c>
      <c r="I159" s="117">
        <v>212.3</v>
      </c>
      <c r="J159" s="117">
        <v>168.2</v>
      </c>
      <c r="K159" s="117">
        <v>1706.2</v>
      </c>
      <c r="L159" s="117">
        <v>2400.8000000000002</v>
      </c>
      <c r="M159" s="117">
        <v>0</v>
      </c>
      <c r="N159" s="117">
        <v>15185.5</v>
      </c>
      <c r="O159" s="117">
        <v>0</v>
      </c>
      <c r="P159" s="216"/>
      <c r="Q159" s="184"/>
    </row>
    <row r="160" spans="1:17">
      <c r="A160" s="263"/>
      <c r="B160" s="145" t="s">
        <v>83</v>
      </c>
      <c r="C160" s="117">
        <v>27832.9</v>
      </c>
      <c r="D160" s="117">
        <v>46445.599999999999</v>
      </c>
      <c r="E160" s="117">
        <v>67319.100000000006</v>
      </c>
      <c r="F160" s="117">
        <v>66634.7</v>
      </c>
      <c r="G160" s="117">
        <v>56267.3</v>
      </c>
      <c r="H160" s="117">
        <v>51644.4</v>
      </c>
      <c r="I160" s="117">
        <v>121172.4</v>
      </c>
      <c r="J160" s="117">
        <v>45324.7</v>
      </c>
      <c r="K160" s="117">
        <v>86223.9</v>
      </c>
      <c r="L160" s="117">
        <v>68222.2</v>
      </c>
      <c r="M160" s="117">
        <v>231610.6</v>
      </c>
      <c r="N160" s="117">
        <v>118243.7</v>
      </c>
      <c r="O160" s="117">
        <v>118105.1</v>
      </c>
      <c r="P160" s="216"/>
      <c r="Q160" s="184"/>
    </row>
    <row r="161" spans="1:20">
      <c r="A161" s="263"/>
      <c r="B161" s="145" t="s">
        <v>84</v>
      </c>
      <c r="C161" s="117">
        <v>744.1</v>
      </c>
      <c r="D161" s="117">
        <v>2304.9</v>
      </c>
      <c r="E161" s="117">
        <v>3767.6</v>
      </c>
      <c r="F161" s="117">
        <v>35531.300000000003</v>
      </c>
      <c r="G161" s="117">
        <v>48396.6</v>
      </c>
      <c r="H161" s="117">
        <v>30094.799999999999</v>
      </c>
      <c r="I161" s="117">
        <v>57890.400000000001</v>
      </c>
      <c r="J161" s="117">
        <v>34473.199999999997</v>
      </c>
      <c r="K161" s="117">
        <v>19002.7</v>
      </c>
      <c r="L161" s="117">
        <v>16033.9</v>
      </c>
      <c r="M161" s="117">
        <v>28940.6</v>
      </c>
      <c r="N161" s="117">
        <v>9850</v>
      </c>
      <c r="O161" s="117">
        <v>23597.4</v>
      </c>
      <c r="P161" s="216"/>
      <c r="Q161" s="184"/>
    </row>
    <row r="162" spans="1:20">
      <c r="A162" s="263"/>
      <c r="B162" s="145" t="s">
        <v>85</v>
      </c>
      <c r="C162" s="117">
        <v>3.7</v>
      </c>
      <c r="D162" s="117">
        <v>236.9</v>
      </c>
      <c r="E162" s="117">
        <v>161.80000000000001</v>
      </c>
      <c r="F162" s="117">
        <v>6002.7</v>
      </c>
      <c r="G162" s="117">
        <v>29937.8</v>
      </c>
      <c r="H162" s="117">
        <v>30825.7</v>
      </c>
      <c r="I162" s="117">
        <v>133882.4</v>
      </c>
      <c r="J162" s="117">
        <v>45551.6</v>
      </c>
      <c r="K162" s="117">
        <v>4378</v>
      </c>
      <c r="L162" s="117">
        <v>4831.1000000000004</v>
      </c>
      <c r="M162" s="117">
        <v>1321.5</v>
      </c>
      <c r="N162" s="117">
        <v>3510.4</v>
      </c>
      <c r="O162" s="117">
        <v>2970.4</v>
      </c>
      <c r="P162" s="216"/>
      <c r="Q162" s="184"/>
    </row>
    <row r="163" spans="1:20">
      <c r="A163" s="263"/>
      <c r="B163" s="145" t="s">
        <v>86</v>
      </c>
      <c r="C163" s="117">
        <v>3514.4</v>
      </c>
      <c r="D163" s="117">
        <v>3974.4</v>
      </c>
      <c r="E163" s="117">
        <v>2439.1999999999998</v>
      </c>
      <c r="F163" s="117">
        <v>6590.7</v>
      </c>
      <c r="G163" s="117">
        <v>17285.900000000001</v>
      </c>
      <c r="H163" s="117">
        <v>8829.7999999999993</v>
      </c>
      <c r="I163" s="117">
        <v>15027.8</v>
      </c>
      <c r="J163" s="117">
        <v>5587.1</v>
      </c>
      <c r="K163" s="117">
        <v>13252.9</v>
      </c>
      <c r="L163" s="117">
        <v>5966.6</v>
      </c>
      <c r="M163" s="117">
        <v>583</v>
      </c>
      <c r="N163" s="117">
        <v>837.6</v>
      </c>
      <c r="O163" s="117">
        <v>3429</v>
      </c>
      <c r="P163" s="216"/>
      <c r="Q163" s="184"/>
      <c r="R163" s="191"/>
      <c r="S163" s="191"/>
      <c r="T163" s="191"/>
    </row>
    <row r="164" spans="1:20">
      <c r="A164" s="263"/>
      <c r="B164" s="145" t="s">
        <v>87</v>
      </c>
      <c r="C164" s="117">
        <v>54.8</v>
      </c>
      <c r="D164" s="117">
        <v>96.4</v>
      </c>
      <c r="E164" s="117">
        <v>0</v>
      </c>
      <c r="F164" s="117">
        <v>4999.6000000000004</v>
      </c>
      <c r="G164" s="117">
        <v>2274.3000000000002</v>
      </c>
      <c r="H164" s="117">
        <v>1971.9</v>
      </c>
      <c r="I164" s="117">
        <v>9240.7999999999993</v>
      </c>
      <c r="J164" s="117">
        <v>2766.6</v>
      </c>
      <c r="K164" s="117">
        <v>4253.3</v>
      </c>
      <c r="L164" s="117">
        <v>1216.3</v>
      </c>
      <c r="M164" s="117">
        <v>274.10000000000002</v>
      </c>
      <c r="N164" s="117">
        <v>678.2</v>
      </c>
      <c r="O164" s="117">
        <v>1474.8</v>
      </c>
      <c r="P164" s="216"/>
      <c r="Q164" s="184"/>
      <c r="R164" s="191"/>
      <c r="S164" s="191"/>
      <c r="T164" s="191"/>
    </row>
    <row r="165" spans="1:20">
      <c r="A165" s="263"/>
      <c r="B165" s="145" t="s">
        <v>92</v>
      </c>
      <c r="C165" s="117">
        <v>0</v>
      </c>
      <c r="D165" s="117">
        <v>0</v>
      </c>
      <c r="E165" s="117">
        <v>0</v>
      </c>
      <c r="F165" s="117">
        <v>60.4</v>
      </c>
      <c r="G165" s="117">
        <v>344</v>
      </c>
      <c r="H165" s="117">
        <v>0</v>
      </c>
      <c r="I165" s="117">
        <v>150</v>
      </c>
      <c r="J165" s="117">
        <v>100</v>
      </c>
      <c r="K165" s="117">
        <v>0</v>
      </c>
      <c r="L165" s="117">
        <v>0</v>
      </c>
      <c r="M165" s="117">
        <v>0</v>
      </c>
      <c r="N165" s="117">
        <v>0</v>
      </c>
      <c r="O165" s="117">
        <v>0</v>
      </c>
      <c r="P165" s="216"/>
      <c r="Q165" s="184"/>
      <c r="R165" s="191"/>
      <c r="S165" s="191"/>
      <c r="T165" s="191"/>
    </row>
    <row r="166" spans="1:20">
      <c r="A166" s="263"/>
      <c r="B166" s="145" t="s">
        <v>80</v>
      </c>
      <c r="C166" s="117">
        <v>0</v>
      </c>
      <c r="D166" s="117">
        <v>0</v>
      </c>
      <c r="E166" s="117">
        <v>0</v>
      </c>
      <c r="F166" s="117">
        <v>0</v>
      </c>
      <c r="G166" s="117">
        <v>0</v>
      </c>
      <c r="H166" s="117">
        <v>0</v>
      </c>
      <c r="I166" s="117">
        <v>0</v>
      </c>
      <c r="J166" s="117">
        <v>0</v>
      </c>
      <c r="K166" s="117">
        <v>0</v>
      </c>
      <c r="L166" s="117">
        <v>308</v>
      </c>
      <c r="M166" s="117">
        <v>0</v>
      </c>
      <c r="N166" s="117">
        <v>0</v>
      </c>
      <c r="O166" s="117">
        <v>0</v>
      </c>
      <c r="P166" s="216"/>
      <c r="Q166" s="184"/>
      <c r="R166" s="191"/>
      <c r="S166" s="191"/>
      <c r="T166" s="191"/>
    </row>
    <row r="167" spans="1:20">
      <c r="A167" s="263"/>
      <c r="B167" s="145" t="s">
        <v>88</v>
      </c>
      <c r="C167" s="117">
        <v>0</v>
      </c>
      <c r="D167" s="117">
        <v>0</v>
      </c>
      <c r="E167" s="117">
        <v>0</v>
      </c>
      <c r="F167" s="117">
        <v>0</v>
      </c>
      <c r="G167" s="117">
        <v>0</v>
      </c>
      <c r="H167" s="117">
        <v>0</v>
      </c>
      <c r="I167" s="117">
        <v>0</v>
      </c>
      <c r="J167" s="117">
        <v>0</v>
      </c>
      <c r="K167" s="117">
        <v>0</v>
      </c>
      <c r="L167" s="117">
        <v>0</v>
      </c>
      <c r="M167" s="117">
        <v>0</v>
      </c>
      <c r="N167" s="117">
        <v>0</v>
      </c>
      <c r="O167" s="117">
        <v>0</v>
      </c>
      <c r="P167" s="216"/>
      <c r="Q167" s="184"/>
      <c r="R167" s="191"/>
      <c r="S167" s="191"/>
      <c r="T167" s="191"/>
    </row>
    <row r="168" spans="1:20">
      <c r="A168" s="263"/>
      <c r="B168" s="145" t="s">
        <v>89</v>
      </c>
      <c r="C168" s="117">
        <v>0</v>
      </c>
      <c r="D168" s="117">
        <v>0</v>
      </c>
      <c r="E168" s="117">
        <v>0</v>
      </c>
      <c r="F168" s="117">
        <v>0</v>
      </c>
      <c r="G168" s="117">
        <v>0</v>
      </c>
      <c r="H168" s="117">
        <v>0</v>
      </c>
      <c r="I168" s="117">
        <v>0</v>
      </c>
      <c r="J168" s="117">
        <v>0</v>
      </c>
      <c r="K168" s="117">
        <v>0</v>
      </c>
      <c r="L168" s="117">
        <v>0</v>
      </c>
      <c r="M168" s="117">
        <v>0</v>
      </c>
      <c r="N168" s="117">
        <v>0</v>
      </c>
      <c r="O168" s="117">
        <v>0</v>
      </c>
      <c r="P168" s="216"/>
      <c r="Q168" s="184"/>
      <c r="R168" s="191"/>
      <c r="S168" s="191"/>
      <c r="T168" s="191"/>
    </row>
    <row r="169" spans="1:20">
      <c r="A169" s="263"/>
      <c r="B169" s="145" t="s">
        <v>91</v>
      </c>
      <c r="C169" s="117">
        <v>0</v>
      </c>
      <c r="D169" s="117">
        <v>0</v>
      </c>
      <c r="E169" s="117">
        <v>0</v>
      </c>
      <c r="F169" s="117">
        <v>0</v>
      </c>
      <c r="G169" s="117">
        <v>0</v>
      </c>
      <c r="H169" s="117">
        <v>0</v>
      </c>
      <c r="I169" s="117">
        <v>0</v>
      </c>
      <c r="J169" s="117">
        <v>0</v>
      </c>
      <c r="K169" s="117">
        <v>0</v>
      </c>
      <c r="L169" s="117">
        <v>0</v>
      </c>
      <c r="M169" s="117">
        <v>0</v>
      </c>
      <c r="N169" s="117">
        <v>0</v>
      </c>
      <c r="O169" s="117">
        <v>0</v>
      </c>
      <c r="P169" s="216"/>
      <c r="Q169" s="184"/>
      <c r="R169" s="191"/>
      <c r="S169" s="191"/>
      <c r="T169" s="191"/>
    </row>
    <row r="170" spans="1:20">
      <c r="A170" s="263"/>
      <c r="B170" s="145" t="s">
        <v>224</v>
      </c>
      <c r="C170" s="117">
        <v>0</v>
      </c>
      <c r="D170" s="117">
        <v>0</v>
      </c>
      <c r="E170" s="117">
        <v>0</v>
      </c>
      <c r="F170" s="117">
        <v>0</v>
      </c>
      <c r="G170" s="117">
        <v>0</v>
      </c>
      <c r="H170" s="117">
        <v>0</v>
      </c>
      <c r="I170" s="117">
        <v>0</v>
      </c>
      <c r="J170" s="117">
        <v>0</v>
      </c>
      <c r="K170" s="117">
        <v>0</v>
      </c>
      <c r="L170" s="117">
        <v>0</v>
      </c>
      <c r="M170" s="117">
        <v>0</v>
      </c>
      <c r="N170" s="117">
        <v>0</v>
      </c>
      <c r="O170" s="117">
        <v>0</v>
      </c>
      <c r="P170" s="216"/>
      <c r="Q170" s="184"/>
      <c r="R170" s="191"/>
      <c r="S170" s="191"/>
      <c r="T170" s="191"/>
    </row>
    <row r="171" spans="1:20">
      <c r="A171" s="263"/>
      <c r="B171" s="145" t="s">
        <v>273</v>
      </c>
      <c r="C171" s="117">
        <v>0</v>
      </c>
      <c r="D171" s="117">
        <v>0</v>
      </c>
      <c r="E171" s="117">
        <v>0</v>
      </c>
      <c r="F171" s="117">
        <v>0</v>
      </c>
      <c r="G171" s="117">
        <v>0</v>
      </c>
      <c r="H171" s="117">
        <v>0</v>
      </c>
      <c r="I171" s="117">
        <v>0</v>
      </c>
      <c r="J171" s="117">
        <v>0</v>
      </c>
      <c r="K171" s="117">
        <v>0</v>
      </c>
      <c r="L171" s="117">
        <v>0</v>
      </c>
      <c r="M171" s="117">
        <v>0</v>
      </c>
      <c r="N171" s="117">
        <v>0</v>
      </c>
      <c r="O171" s="117">
        <v>0</v>
      </c>
      <c r="P171" s="184">
        <f>O173/C173-1</f>
        <v>3.3627205842154773</v>
      </c>
      <c r="Q171" s="184"/>
      <c r="R171" s="191"/>
      <c r="S171" s="191"/>
      <c r="T171" s="191"/>
    </row>
    <row r="172" spans="1:20">
      <c r="A172" s="263"/>
      <c r="B172" s="145" t="s">
        <v>274</v>
      </c>
      <c r="C172" s="117">
        <v>0</v>
      </c>
      <c r="D172" s="117">
        <v>0</v>
      </c>
      <c r="E172" s="117">
        <v>0</v>
      </c>
      <c r="F172" s="117">
        <v>0</v>
      </c>
      <c r="G172" s="117">
        <v>0</v>
      </c>
      <c r="H172" s="117">
        <v>0</v>
      </c>
      <c r="I172" s="117">
        <v>0</v>
      </c>
      <c r="J172" s="117">
        <v>0</v>
      </c>
      <c r="K172" s="117">
        <v>0</v>
      </c>
      <c r="L172" s="117">
        <v>242.7</v>
      </c>
      <c r="M172" s="117">
        <v>820.6</v>
      </c>
      <c r="N172" s="117">
        <v>588.70000000000005</v>
      </c>
      <c r="O172" s="117">
        <v>844.6</v>
      </c>
      <c r="P172" s="198"/>
      <c r="Q172" s="191"/>
      <c r="R172" s="191"/>
      <c r="S172" s="191"/>
      <c r="T172" s="191"/>
    </row>
    <row r="173" spans="1:20">
      <c r="A173" s="262"/>
      <c r="B173" s="220" t="s">
        <v>0</v>
      </c>
      <c r="C173" s="221">
        <v>34754.300000000003</v>
      </c>
      <c r="D173" s="221">
        <v>54714.3</v>
      </c>
      <c r="E173" s="221">
        <v>75416.600000000006</v>
      </c>
      <c r="F173" s="221">
        <v>134313.1</v>
      </c>
      <c r="G173" s="221">
        <v>159582.29999999999</v>
      </c>
      <c r="H173" s="221">
        <v>127474.9</v>
      </c>
      <c r="I173" s="221">
        <v>341457.9</v>
      </c>
      <c r="J173" s="221">
        <v>136367.20000000001</v>
      </c>
      <c r="K173" s="221">
        <v>131650.29999999999</v>
      </c>
      <c r="L173" s="221">
        <v>101689.5</v>
      </c>
      <c r="M173" s="221">
        <v>268031.09999999998</v>
      </c>
      <c r="N173" s="221">
        <v>151532.70000000001</v>
      </c>
      <c r="O173" s="221">
        <v>151623.29999999999</v>
      </c>
      <c r="P173" s="191"/>
      <c r="Q173" s="191"/>
      <c r="R173" s="191"/>
      <c r="S173" s="191"/>
      <c r="T173" s="191"/>
    </row>
    <row r="174" spans="1:20">
      <c r="A174" s="231"/>
      <c r="B174" s="231"/>
      <c r="C174" s="231"/>
      <c r="D174" s="231"/>
      <c r="E174" s="231"/>
      <c r="F174" s="231"/>
      <c r="G174" s="231"/>
      <c r="H174" s="231"/>
      <c r="I174" s="231"/>
      <c r="J174" s="231"/>
      <c r="K174" s="231"/>
      <c r="L174" s="231"/>
      <c r="M174" s="231"/>
      <c r="N174" s="231"/>
      <c r="O174" s="231"/>
      <c r="P174" s="231"/>
      <c r="Q174" s="231"/>
      <c r="R174" s="191"/>
      <c r="S174" s="191"/>
      <c r="T174" s="191"/>
    </row>
    <row r="175" spans="1:20">
      <c r="A175" s="232"/>
      <c r="B175" s="232"/>
      <c r="C175" s="232"/>
      <c r="D175" s="232"/>
      <c r="E175" s="232"/>
      <c r="F175" s="232"/>
      <c r="G175" s="232"/>
      <c r="H175" s="232"/>
      <c r="I175" s="232"/>
      <c r="J175" s="232"/>
      <c r="K175" s="232"/>
      <c r="L175" s="232"/>
      <c r="M175" s="232"/>
      <c r="N175" s="232"/>
      <c r="O175" s="232"/>
      <c r="P175" s="232"/>
      <c r="Q175" s="232"/>
      <c r="R175" s="191"/>
      <c r="S175" s="191"/>
      <c r="T175" s="191"/>
    </row>
    <row r="176" spans="1:20">
      <c r="O176" s="191"/>
      <c r="P176" s="191"/>
      <c r="Q176" s="191"/>
      <c r="R176" s="191"/>
      <c r="S176" s="191"/>
      <c r="T176" s="191"/>
    </row>
    <row r="177" spans="1:21">
      <c r="O177" s="191"/>
      <c r="P177" s="191"/>
      <c r="Q177" s="191"/>
      <c r="R177" s="191"/>
      <c r="S177" s="191"/>
      <c r="T177" s="191"/>
    </row>
    <row r="179" spans="1:21">
      <c r="A179" s="88" t="s">
        <v>297</v>
      </c>
      <c r="B179" s="191"/>
    </row>
    <row r="180" spans="1:21">
      <c r="B180" s="194" t="str">
        <f>MID(B181,6,1)</f>
        <v>E</v>
      </c>
      <c r="C180" s="194" t="str">
        <f t="shared" ref="C180:N180" si="5">MID(C181,6,1)</f>
        <v>F</v>
      </c>
      <c r="D180" s="194" t="str">
        <f t="shared" si="5"/>
        <v>M</v>
      </c>
      <c r="E180" s="194" t="str">
        <f t="shared" si="5"/>
        <v>A</v>
      </c>
      <c r="F180" s="194" t="str">
        <f t="shared" si="5"/>
        <v>M</v>
      </c>
      <c r="G180" s="194" t="str">
        <f t="shared" si="5"/>
        <v>J</v>
      </c>
      <c r="H180" s="194" t="str">
        <f t="shared" si="5"/>
        <v>J</v>
      </c>
      <c r="I180" s="194" t="str">
        <f t="shared" si="5"/>
        <v>A</v>
      </c>
      <c r="J180" s="194" t="str">
        <f t="shared" si="5"/>
        <v>S</v>
      </c>
      <c r="K180" s="194" t="str">
        <f t="shared" si="5"/>
        <v>O</v>
      </c>
      <c r="L180" s="194" t="str">
        <f t="shared" si="5"/>
        <v>N</v>
      </c>
      <c r="M180" s="194" t="str">
        <f t="shared" si="5"/>
        <v>D</v>
      </c>
      <c r="N180" s="194" t="str">
        <f t="shared" si="5"/>
        <v>E</v>
      </c>
    </row>
    <row r="181" spans="1:21">
      <c r="A181" s="143" t="s">
        <v>93</v>
      </c>
      <c r="B181" s="172" t="s">
        <v>263</v>
      </c>
      <c r="C181" s="172" t="s">
        <v>265</v>
      </c>
      <c r="D181" s="172" t="s">
        <v>268</v>
      </c>
      <c r="E181" s="172" t="s">
        <v>272</v>
      </c>
      <c r="F181" s="172" t="s">
        <v>276</v>
      </c>
      <c r="G181" s="172" t="s">
        <v>278</v>
      </c>
      <c r="H181" s="172" t="s">
        <v>280</v>
      </c>
      <c r="I181" s="172" t="s">
        <v>282</v>
      </c>
      <c r="J181" s="172" t="s">
        <v>284</v>
      </c>
      <c r="K181" s="172" t="s">
        <v>291</v>
      </c>
      <c r="L181" s="172" t="s">
        <v>294</v>
      </c>
      <c r="M181" s="172" t="s">
        <v>296</v>
      </c>
      <c r="N181" s="172" t="s">
        <v>331</v>
      </c>
      <c r="P181" s="140"/>
    </row>
    <row r="182" spans="1:21">
      <c r="A182" s="143" t="s">
        <v>27</v>
      </c>
      <c r="B182" s="170"/>
      <c r="C182" s="170"/>
      <c r="D182" s="170"/>
      <c r="E182" s="170"/>
      <c r="F182" s="170"/>
      <c r="G182" s="170"/>
      <c r="H182" s="170"/>
      <c r="I182" s="170"/>
      <c r="J182" s="170"/>
      <c r="K182" s="170"/>
      <c r="L182" s="170"/>
      <c r="M182" s="170"/>
      <c r="N182" s="170"/>
      <c r="P182" s="140"/>
    </row>
    <row r="183" spans="1:21">
      <c r="A183" s="145" t="s">
        <v>65</v>
      </c>
      <c r="B183" s="147">
        <v>823.45698924732505</v>
      </c>
      <c r="C183" s="147">
        <v>822.22126436782503</v>
      </c>
      <c r="D183" s="147">
        <v>819.6032974428</v>
      </c>
      <c r="E183" s="147">
        <v>822.60972222222495</v>
      </c>
      <c r="F183" s="147">
        <v>860.69455645162498</v>
      </c>
      <c r="G183" s="147">
        <v>909.48680555554995</v>
      </c>
      <c r="H183" s="147">
        <v>895.87533602149995</v>
      </c>
      <c r="I183" s="147">
        <v>896.60181451612505</v>
      </c>
      <c r="J183" s="147">
        <v>904.94791666667504</v>
      </c>
      <c r="K183" s="147">
        <v>1016.8244966443</v>
      </c>
      <c r="L183" s="147">
        <v>1101.9777298850499</v>
      </c>
      <c r="M183" s="147">
        <v>1182.3212365591501</v>
      </c>
      <c r="N183" s="147">
        <v>1150.9126344086001</v>
      </c>
      <c r="O183" s="185">
        <f>N183/B183-1</f>
        <v>0.39765968282154418</v>
      </c>
      <c r="P183" s="140"/>
    </row>
    <row r="184" spans="1:21">
      <c r="A184" s="145" t="s">
        <v>66</v>
      </c>
      <c r="B184" s="147">
        <v>823.64112903224998</v>
      </c>
      <c r="C184" s="147">
        <v>823.20258620690004</v>
      </c>
      <c r="D184" s="147">
        <v>821.91823687752503</v>
      </c>
      <c r="E184" s="147">
        <v>825.41666666667504</v>
      </c>
      <c r="F184" s="147">
        <v>863.35450268817499</v>
      </c>
      <c r="G184" s="147">
        <v>912.17291666667495</v>
      </c>
      <c r="H184" s="147">
        <v>897.59307795699999</v>
      </c>
      <c r="I184" s="147">
        <v>897.21471774192503</v>
      </c>
      <c r="J184" s="147">
        <v>906.32291666667504</v>
      </c>
      <c r="K184" s="147">
        <v>1012.71845637585</v>
      </c>
      <c r="L184" s="147">
        <v>1102.260775862075</v>
      </c>
      <c r="M184" s="147">
        <v>1174.3723118279499</v>
      </c>
      <c r="N184" s="147">
        <v>1129.192204301075</v>
      </c>
      <c r="O184" s="185"/>
      <c r="P184" s="140"/>
    </row>
    <row r="185" spans="1:21">
      <c r="C185" s="117"/>
      <c r="P185" s="140"/>
    </row>
    <row r="186" spans="1:21">
      <c r="C186" s="117"/>
      <c r="P186" s="140"/>
    </row>
    <row r="187" spans="1:21">
      <c r="A187" s="88" t="s">
        <v>226</v>
      </c>
      <c r="B187" s="194" t="str">
        <f>MID(B189,6,1)</f>
        <v>E</v>
      </c>
      <c r="C187" s="194" t="str">
        <f t="shared" ref="C187:N187" si="6">MID(C189,6,1)</f>
        <v>F</v>
      </c>
      <c r="D187" s="194" t="str">
        <f t="shared" si="6"/>
        <v>M</v>
      </c>
      <c r="E187" s="194" t="str">
        <f t="shared" si="6"/>
        <v>A</v>
      </c>
      <c r="F187" s="194" t="str">
        <f t="shared" si="6"/>
        <v>M</v>
      </c>
      <c r="G187" s="194" t="str">
        <f t="shared" si="6"/>
        <v>J</v>
      </c>
      <c r="H187" s="194" t="str">
        <f t="shared" si="6"/>
        <v>J</v>
      </c>
      <c r="I187" s="194" t="str">
        <f t="shared" si="6"/>
        <v>A</v>
      </c>
      <c r="J187" s="194" t="str">
        <f t="shared" si="6"/>
        <v>S</v>
      </c>
      <c r="K187" s="194" t="str">
        <f t="shared" si="6"/>
        <v>O</v>
      </c>
      <c r="L187" s="194" t="str">
        <f t="shared" si="6"/>
        <v>N</v>
      </c>
      <c r="M187" s="194" t="str">
        <f t="shared" si="6"/>
        <v>D</v>
      </c>
      <c r="N187" s="194" t="str">
        <f t="shared" si="6"/>
        <v>E</v>
      </c>
      <c r="P187" s="183"/>
      <c r="Q187" s="183"/>
    </row>
    <row r="188" spans="1:21">
      <c r="A188" s="143" t="s">
        <v>27</v>
      </c>
      <c r="B188" s="259" t="s">
        <v>249</v>
      </c>
      <c r="C188" s="260"/>
      <c r="D188" s="260"/>
      <c r="E188" s="260"/>
      <c r="F188" s="260"/>
      <c r="G188" s="260"/>
      <c r="H188" s="260"/>
      <c r="I188" s="260"/>
      <c r="J188" s="260"/>
      <c r="K188" s="260"/>
      <c r="L188" s="260"/>
      <c r="M188" s="260"/>
      <c r="N188" s="260"/>
      <c r="P188" s="183"/>
      <c r="Q188" s="183"/>
    </row>
    <row r="189" spans="1:21">
      <c r="A189" s="143" t="s">
        <v>93</v>
      </c>
      <c r="B189" s="172" t="s">
        <v>263</v>
      </c>
      <c r="C189" s="172" t="s">
        <v>265</v>
      </c>
      <c r="D189" s="172" t="s">
        <v>268</v>
      </c>
      <c r="E189" s="172" t="s">
        <v>272</v>
      </c>
      <c r="F189" s="172" t="s">
        <v>276</v>
      </c>
      <c r="G189" s="172" t="s">
        <v>278</v>
      </c>
      <c r="H189" s="172" t="s">
        <v>280</v>
      </c>
      <c r="I189" s="172" t="s">
        <v>282</v>
      </c>
      <c r="J189" s="172" t="s">
        <v>284</v>
      </c>
      <c r="K189" s="172" t="s">
        <v>291</v>
      </c>
      <c r="L189" s="172" t="s">
        <v>294</v>
      </c>
      <c r="M189" s="172" t="s">
        <v>296</v>
      </c>
      <c r="N189" s="172" t="s">
        <v>331</v>
      </c>
      <c r="P189" s="183"/>
      <c r="Q189" s="183"/>
    </row>
    <row r="190" spans="1:21">
      <c r="A190" s="143" t="s">
        <v>126</v>
      </c>
      <c r="B190" s="170"/>
      <c r="C190" s="170"/>
      <c r="D190" s="170"/>
      <c r="E190" s="170"/>
      <c r="F190" s="170"/>
      <c r="G190" s="170"/>
      <c r="H190" s="170"/>
      <c r="I190" s="170"/>
      <c r="J190" s="170"/>
      <c r="K190" s="170"/>
      <c r="L190" s="170"/>
      <c r="M190" s="170"/>
      <c r="N190" s="170"/>
      <c r="O190" s="185"/>
      <c r="P190" s="183"/>
      <c r="Q190" s="183"/>
    </row>
    <row r="191" spans="1:21">
      <c r="A191" s="145" t="s">
        <v>81</v>
      </c>
      <c r="B191" s="117">
        <v>128.19069999999999</v>
      </c>
      <c r="C191" s="117">
        <v>110.41272499999999</v>
      </c>
      <c r="D191" s="117">
        <v>137.99905000000001</v>
      </c>
      <c r="E191" s="117">
        <v>142.64092500000001</v>
      </c>
      <c r="F191" s="117">
        <v>129.96244999999999</v>
      </c>
      <c r="G191" s="117">
        <v>140.64422500000001</v>
      </c>
      <c r="H191" s="117">
        <v>145.18279999999999</v>
      </c>
      <c r="I191" s="117">
        <v>180.042475</v>
      </c>
      <c r="J191" s="117">
        <v>165.537925</v>
      </c>
      <c r="K191" s="117">
        <v>131.49952500000001</v>
      </c>
      <c r="L191" s="117">
        <v>91.061660000000003</v>
      </c>
      <c r="M191" s="117">
        <v>58.433557</v>
      </c>
      <c r="N191" s="117">
        <v>78.902215999999996</v>
      </c>
      <c r="O191" s="185">
        <f>N191/B191-1</f>
        <v>-0.3844934460924232</v>
      </c>
      <c r="P191" s="183"/>
      <c r="Q191" s="183"/>
      <c r="S191" s="117"/>
      <c r="T191" s="117"/>
      <c r="U191" s="117"/>
    </row>
    <row r="192" spans="1:21">
      <c r="A192" s="145" t="s">
        <v>77</v>
      </c>
      <c r="B192" s="117">
        <v>222.36382499999999</v>
      </c>
      <c r="C192" s="117">
        <v>246.44477499999999</v>
      </c>
      <c r="D192" s="117">
        <v>265.50565</v>
      </c>
      <c r="E192" s="117">
        <v>253.72047499999999</v>
      </c>
      <c r="F192" s="117">
        <v>255.9136</v>
      </c>
      <c r="G192" s="117">
        <v>200.79612499999999</v>
      </c>
      <c r="H192" s="117">
        <v>219.31675000000001</v>
      </c>
      <c r="I192" s="117">
        <v>174.548475</v>
      </c>
      <c r="J192" s="117">
        <v>172.08167499999999</v>
      </c>
      <c r="K192" s="117">
        <v>201.38062500000001</v>
      </c>
      <c r="L192" s="117">
        <v>135.71709799999999</v>
      </c>
      <c r="M192" s="117">
        <v>89.916922</v>
      </c>
      <c r="N192" s="117">
        <v>75.798308000000006</v>
      </c>
      <c r="O192" s="185">
        <f>N192/B192-1</f>
        <v>-0.65912482392313576</v>
      </c>
      <c r="P192" s="185">
        <f>(N191+N192)/(B191+B192)-1</f>
        <v>-0.55869768333471093</v>
      </c>
      <c r="Q192" s="183"/>
      <c r="S192" s="117"/>
      <c r="T192" s="117"/>
      <c r="U192" s="117"/>
    </row>
    <row r="193" spans="1:17">
      <c r="B193" s="199"/>
      <c r="M193" s="199"/>
      <c r="N193" s="199"/>
    </row>
    <row r="194" spans="1:17">
      <c r="A194" s="88" t="s">
        <v>227</v>
      </c>
      <c r="C194" s="169" t="str">
        <f t="shared" ref="C194:O194" si="7">MID(C196,6,1)</f>
        <v>E</v>
      </c>
      <c r="D194" s="169" t="str">
        <f t="shared" si="7"/>
        <v>F</v>
      </c>
      <c r="E194" s="169" t="str">
        <f t="shared" si="7"/>
        <v>M</v>
      </c>
      <c r="F194" s="169" t="str">
        <f t="shared" si="7"/>
        <v>A</v>
      </c>
      <c r="G194" s="169" t="str">
        <f t="shared" si="7"/>
        <v>M</v>
      </c>
      <c r="H194" s="169" t="str">
        <f t="shared" si="7"/>
        <v>J</v>
      </c>
      <c r="I194" s="169" t="str">
        <f t="shared" si="7"/>
        <v>J</v>
      </c>
      <c r="J194" s="169" t="str">
        <f t="shared" si="7"/>
        <v>A</v>
      </c>
      <c r="K194" s="169" t="str">
        <f t="shared" si="7"/>
        <v>S</v>
      </c>
      <c r="L194" s="169" t="str">
        <f t="shared" si="7"/>
        <v>O</v>
      </c>
      <c r="M194" s="169" t="str">
        <f t="shared" si="7"/>
        <v>N</v>
      </c>
      <c r="N194" s="169" t="str">
        <f t="shared" si="7"/>
        <v>D</v>
      </c>
      <c r="O194" s="169" t="str">
        <f t="shared" si="7"/>
        <v>E</v>
      </c>
    </row>
    <row r="195" spans="1:17">
      <c r="A195" s="143"/>
      <c r="B195" s="143" t="s">
        <v>27</v>
      </c>
      <c r="C195" s="257" t="s">
        <v>210</v>
      </c>
      <c r="D195" s="258"/>
      <c r="E195" s="258"/>
      <c r="F195" s="258"/>
      <c r="G195" s="258"/>
      <c r="H195" s="258"/>
      <c r="I195" s="258"/>
      <c r="J195" s="258"/>
      <c r="K195" s="258"/>
      <c r="L195" s="258"/>
      <c r="M195" s="258"/>
      <c r="N195" s="258"/>
      <c r="O195" s="258"/>
      <c r="P195" s="183"/>
      <c r="Q195" s="183"/>
    </row>
    <row r="196" spans="1:17">
      <c r="A196" s="143"/>
      <c r="B196" s="144" t="s">
        <v>93</v>
      </c>
      <c r="C196" s="172" t="s">
        <v>263</v>
      </c>
      <c r="D196" s="172" t="s">
        <v>265</v>
      </c>
      <c r="E196" s="172" t="s">
        <v>268</v>
      </c>
      <c r="F196" s="172" t="s">
        <v>272</v>
      </c>
      <c r="G196" s="172" t="s">
        <v>276</v>
      </c>
      <c r="H196" s="172" t="s">
        <v>278</v>
      </c>
      <c r="I196" s="172" t="s">
        <v>280</v>
      </c>
      <c r="J196" s="172" t="s">
        <v>282</v>
      </c>
      <c r="K196" s="172" t="s">
        <v>284</v>
      </c>
      <c r="L196" s="172" t="s">
        <v>291</v>
      </c>
      <c r="M196" s="172" t="s">
        <v>294</v>
      </c>
      <c r="N196" s="172" t="s">
        <v>296</v>
      </c>
      <c r="O196" s="172" t="s">
        <v>331</v>
      </c>
      <c r="P196" s="183"/>
      <c r="Q196" s="183"/>
    </row>
    <row r="197" spans="1:17">
      <c r="A197" s="143" t="s">
        <v>126</v>
      </c>
      <c r="B197" s="143" t="s">
        <v>127</v>
      </c>
      <c r="C197" s="170"/>
      <c r="D197" s="170"/>
      <c r="E197" s="170"/>
      <c r="F197" s="170"/>
      <c r="G197" s="170"/>
      <c r="H197" s="170"/>
      <c r="I197" s="170"/>
      <c r="J197" s="170"/>
      <c r="K197" s="170"/>
      <c r="L197" s="170"/>
      <c r="M197" s="170"/>
      <c r="N197" s="170"/>
      <c r="O197" s="170"/>
      <c r="P197" s="183"/>
      <c r="Q197" s="183"/>
    </row>
    <row r="198" spans="1:17">
      <c r="A198" s="261" t="s">
        <v>77</v>
      </c>
      <c r="B198" s="145" t="s">
        <v>88</v>
      </c>
      <c r="C198" s="146">
        <v>0</v>
      </c>
      <c r="D198" s="146">
        <v>0</v>
      </c>
      <c r="E198" s="146">
        <v>0</v>
      </c>
      <c r="F198" s="146">
        <v>0</v>
      </c>
      <c r="G198" s="146">
        <v>0</v>
      </c>
      <c r="H198" s="146">
        <v>0</v>
      </c>
      <c r="I198" s="146">
        <v>0</v>
      </c>
      <c r="J198" s="146">
        <v>0</v>
      </c>
      <c r="K198" s="146">
        <v>0</v>
      </c>
      <c r="L198" s="146">
        <v>0</v>
      </c>
      <c r="M198" s="146">
        <v>0</v>
      </c>
      <c r="N198" s="146">
        <v>0</v>
      </c>
      <c r="O198" s="146">
        <v>0</v>
      </c>
      <c r="P198" s="183"/>
      <c r="Q198" s="183"/>
    </row>
    <row r="199" spans="1:17">
      <c r="A199" s="263"/>
      <c r="B199" s="145" t="s">
        <v>79</v>
      </c>
      <c r="C199" s="146">
        <v>523.65</v>
      </c>
      <c r="D199" s="146">
        <v>13</v>
      </c>
      <c r="E199" s="146">
        <v>1.25</v>
      </c>
      <c r="F199" s="146">
        <v>58.75</v>
      </c>
      <c r="G199" s="146">
        <v>46.674999999999997</v>
      </c>
      <c r="H199" s="146">
        <v>56.25</v>
      </c>
      <c r="I199" s="146">
        <v>537</v>
      </c>
      <c r="J199" s="146">
        <v>17.5</v>
      </c>
      <c r="K199" s="146">
        <v>275.2</v>
      </c>
      <c r="L199" s="146">
        <v>379.41399999999999</v>
      </c>
      <c r="M199" s="146">
        <v>960.09100000000001</v>
      </c>
      <c r="N199" s="146">
        <v>1807.4749999999999</v>
      </c>
      <c r="O199" s="146">
        <v>485.25</v>
      </c>
      <c r="P199" s="183"/>
      <c r="Q199" s="183"/>
    </row>
    <row r="200" spans="1:17">
      <c r="A200" s="263"/>
      <c r="B200" s="145" t="s">
        <v>23</v>
      </c>
      <c r="C200" s="146">
        <v>48869.214</v>
      </c>
      <c r="D200" s="146">
        <v>24120.724999999999</v>
      </c>
      <c r="E200" s="146">
        <v>10498.975</v>
      </c>
      <c r="F200" s="146">
        <v>9874.8809999999994</v>
      </c>
      <c r="G200" s="146">
        <v>37388.398000000001</v>
      </c>
      <c r="H200" s="146">
        <v>61515.864999999998</v>
      </c>
      <c r="I200" s="146">
        <v>117733.28599999999</v>
      </c>
      <c r="J200" s="146">
        <v>108037.599</v>
      </c>
      <c r="K200" s="146">
        <v>71329.876000000004</v>
      </c>
      <c r="L200" s="146">
        <v>55707.942999999999</v>
      </c>
      <c r="M200" s="146">
        <v>92005.611000000004</v>
      </c>
      <c r="N200" s="146">
        <v>149676.72500000001</v>
      </c>
      <c r="O200" s="146">
        <v>75138.25</v>
      </c>
      <c r="P200" s="183"/>
      <c r="Q200" s="183"/>
    </row>
    <row r="201" spans="1:17">
      <c r="A201" s="263"/>
      <c r="B201" s="145" t="s">
        <v>86</v>
      </c>
      <c r="C201" s="146">
        <v>27.507999999999999</v>
      </c>
      <c r="D201" s="146">
        <v>20.75</v>
      </c>
      <c r="E201" s="146">
        <v>6.95</v>
      </c>
      <c r="F201" s="146">
        <v>13.074999999999999</v>
      </c>
      <c r="G201" s="146">
        <v>5.15</v>
      </c>
      <c r="H201" s="146">
        <v>28.95</v>
      </c>
      <c r="I201" s="146">
        <v>6.75</v>
      </c>
      <c r="J201" s="146">
        <v>23.632999999999999</v>
      </c>
      <c r="K201" s="146">
        <v>8.4250000000000007</v>
      </c>
      <c r="L201" s="146">
        <v>4.7</v>
      </c>
      <c r="M201" s="146">
        <v>15.625</v>
      </c>
      <c r="N201" s="146">
        <v>16.25</v>
      </c>
      <c r="O201" s="146">
        <v>3</v>
      </c>
      <c r="P201" s="183"/>
      <c r="Q201" s="183"/>
    </row>
    <row r="202" spans="1:17">
      <c r="A202" s="263"/>
      <c r="B202" s="145" t="s">
        <v>80</v>
      </c>
      <c r="C202" s="146">
        <v>16987.325000000001</v>
      </c>
      <c r="D202" s="146">
        <v>19195.691999999999</v>
      </c>
      <c r="E202" s="146">
        <v>26103.108</v>
      </c>
      <c r="F202" s="146">
        <v>14422.1</v>
      </c>
      <c r="G202" s="146">
        <v>24589.24</v>
      </c>
      <c r="H202" s="146">
        <v>35192.391000000003</v>
      </c>
      <c r="I202" s="146">
        <v>33501.832999999999</v>
      </c>
      <c r="J202" s="146">
        <v>27203.424999999999</v>
      </c>
      <c r="K202" s="146">
        <v>25004.131000000001</v>
      </c>
      <c r="L202" s="146">
        <v>19519.491000000002</v>
      </c>
      <c r="M202" s="146">
        <v>14910.407999999999</v>
      </c>
      <c r="N202" s="146">
        <v>17618.241999999998</v>
      </c>
      <c r="O202" s="146">
        <v>30294.2</v>
      </c>
      <c r="P202" s="183"/>
      <c r="Q202" s="183"/>
    </row>
    <row r="203" spans="1:17">
      <c r="A203" s="263"/>
      <c r="B203" s="145" t="s">
        <v>89</v>
      </c>
      <c r="C203" s="146">
        <v>0</v>
      </c>
      <c r="D203" s="146">
        <v>0</v>
      </c>
      <c r="E203" s="146">
        <v>0</v>
      </c>
      <c r="F203" s="146">
        <v>0</v>
      </c>
      <c r="G203" s="146">
        <v>0</v>
      </c>
      <c r="H203" s="146">
        <v>0</v>
      </c>
      <c r="I203" s="146">
        <v>0</v>
      </c>
      <c r="J203" s="146">
        <v>0</v>
      </c>
      <c r="K203" s="146">
        <v>0</v>
      </c>
      <c r="L203" s="146">
        <v>0</v>
      </c>
      <c r="M203" s="146">
        <v>0</v>
      </c>
      <c r="N203" s="146">
        <v>0</v>
      </c>
      <c r="O203" s="146">
        <v>0</v>
      </c>
      <c r="P203" s="183"/>
      <c r="Q203" s="183"/>
    </row>
    <row r="204" spans="1:17">
      <c r="A204" s="263"/>
      <c r="B204" s="145" t="s">
        <v>83</v>
      </c>
      <c r="C204" s="146">
        <v>8593.4660000000003</v>
      </c>
      <c r="D204" s="146">
        <v>21041.275000000001</v>
      </c>
      <c r="E204" s="146">
        <v>89456.368000000002</v>
      </c>
      <c r="F204" s="146">
        <v>32837.114000000001</v>
      </c>
      <c r="G204" s="146">
        <v>18793.464</v>
      </c>
      <c r="H204" s="146">
        <v>19769.831999999999</v>
      </c>
      <c r="I204" s="146">
        <v>27242.550999999999</v>
      </c>
      <c r="J204" s="146">
        <v>18314.178</v>
      </c>
      <c r="K204" s="146">
        <v>14389.375</v>
      </c>
      <c r="L204" s="146">
        <v>24306.028999999999</v>
      </c>
      <c r="M204" s="146">
        <v>13826.055</v>
      </c>
      <c r="N204" s="146">
        <v>22650.025000000001</v>
      </c>
      <c r="O204" s="146">
        <v>24907.05</v>
      </c>
      <c r="P204" s="183"/>
      <c r="Q204" s="183"/>
    </row>
    <row r="205" spans="1:17">
      <c r="A205" s="263"/>
      <c r="B205" s="145" t="s">
        <v>90</v>
      </c>
      <c r="C205" s="146">
        <v>0</v>
      </c>
      <c r="D205" s="146">
        <v>0</v>
      </c>
      <c r="E205" s="146">
        <v>0</v>
      </c>
      <c r="F205" s="146">
        <v>0</v>
      </c>
      <c r="G205" s="146">
        <v>0</v>
      </c>
      <c r="H205" s="146">
        <v>0</v>
      </c>
      <c r="I205" s="146">
        <v>0</v>
      </c>
      <c r="J205" s="146">
        <v>0</v>
      </c>
      <c r="K205" s="146">
        <v>0</v>
      </c>
      <c r="L205" s="146">
        <v>0</v>
      </c>
      <c r="M205" s="146">
        <v>0</v>
      </c>
      <c r="N205" s="146">
        <v>0</v>
      </c>
      <c r="O205" s="146">
        <v>0</v>
      </c>
      <c r="P205" s="183"/>
      <c r="Q205" s="183"/>
    </row>
    <row r="206" spans="1:17">
      <c r="A206" s="263"/>
      <c r="B206" s="145" t="s">
        <v>274</v>
      </c>
      <c r="C206" s="146">
        <v>0</v>
      </c>
      <c r="D206" s="146">
        <v>0</v>
      </c>
      <c r="E206" s="146">
        <v>0</v>
      </c>
      <c r="F206" s="146">
        <v>0</v>
      </c>
      <c r="G206" s="146">
        <v>0</v>
      </c>
      <c r="H206" s="146">
        <v>0</v>
      </c>
      <c r="I206" s="146">
        <v>0</v>
      </c>
      <c r="J206" s="146">
        <v>0</v>
      </c>
      <c r="K206" s="146">
        <v>0</v>
      </c>
      <c r="L206" s="146">
        <v>0</v>
      </c>
      <c r="M206" s="146">
        <v>0</v>
      </c>
      <c r="N206" s="146">
        <v>0</v>
      </c>
      <c r="O206" s="146">
        <v>0</v>
      </c>
      <c r="P206" s="183"/>
      <c r="Q206" s="183"/>
    </row>
    <row r="207" spans="1:17">
      <c r="A207" s="263"/>
      <c r="B207" s="145" t="s">
        <v>19</v>
      </c>
      <c r="C207" s="146">
        <v>26383.8</v>
      </c>
      <c r="D207" s="146">
        <v>33224.966</v>
      </c>
      <c r="E207" s="146">
        <v>37741.302000000003</v>
      </c>
      <c r="F207" s="146">
        <v>32447.29</v>
      </c>
      <c r="G207" s="146">
        <v>34258.17</v>
      </c>
      <c r="H207" s="146">
        <v>52189.11</v>
      </c>
      <c r="I207" s="146">
        <v>44286.06</v>
      </c>
      <c r="J207" s="146">
        <v>45614.728999999999</v>
      </c>
      <c r="K207" s="146">
        <v>21337.156999999999</v>
      </c>
      <c r="L207" s="146">
        <v>36443.067999999999</v>
      </c>
      <c r="M207" s="146">
        <v>25115.334999999999</v>
      </c>
      <c r="N207" s="146">
        <v>46447.163</v>
      </c>
      <c r="O207" s="146">
        <v>30091.7</v>
      </c>
      <c r="P207" s="183"/>
      <c r="Q207" s="183"/>
    </row>
    <row r="208" spans="1:17">
      <c r="A208" s="263"/>
      <c r="B208" s="145" t="s">
        <v>224</v>
      </c>
      <c r="C208" s="146">
        <v>0</v>
      </c>
      <c r="D208" s="146">
        <v>0</v>
      </c>
      <c r="E208" s="146">
        <v>0</v>
      </c>
      <c r="F208" s="146">
        <v>0</v>
      </c>
      <c r="G208" s="146">
        <v>0</v>
      </c>
      <c r="H208" s="146">
        <v>0</v>
      </c>
      <c r="I208" s="146">
        <v>0</v>
      </c>
      <c r="J208" s="146">
        <v>0</v>
      </c>
      <c r="K208" s="146">
        <v>0</v>
      </c>
      <c r="L208" s="146">
        <v>0</v>
      </c>
      <c r="M208" s="146">
        <v>0</v>
      </c>
      <c r="N208" s="146">
        <v>0</v>
      </c>
      <c r="O208" s="146">
        <v>0</v>
      </c>
      <c r="P208" s="183"/>
      <c r="Q208" s="183"/>
    </row>
    <row r="209" spans="1:17">
      <c r="A209" s="263"/>
      <c r="B209" s="145" t="s">
        <v>91</v>
      </c>
      <c r="C209" s="146">
        <v>0</v>
      </c>
      <c r="D209" s="146">
        <v>0</v>
      </c>
      <c r="E209" s="146">
        <v>0</v>
      </c>
      <c r="F209" s="146">
        <v>0</v>
      </c>
      <c r="G209" s="146">
        <v>0</v>
      </c>
      <c r="H209" s="146">
        <v>0</v>
      </c>
      <c r="I209" s="146">
        <v>0</v>
      </c>
      <c r="J209" s="146">
        <v>0</v>
      </c>
      <c r="K209" s="146">
        <v>0</v>
      </c>
      <c r="L209" s="146">
        <v>0</v>
      </c>
      <c r="M209" s="146">
        <v>0</v>
      </c>
      <c r="N209" s="146">
        <v>8416.4750000000004</v>
      </c>
      <c r="O209" s="146">
        <v>34556.9</v>
      </c>
      <c r="P209" s="183"/>
      <c r="Q209" s="183"/>
    </row>
    <row r="210" spans="1:17">
      <c r="A210" s="263"/>
      <c r="B210" s="145" t="s">
        <v>78</v>
      </c>
      <c r="C210" s="146">
        <v>129.17500000000001</v>
      </c>
      <c r="D210" s="146">
        <v>111.22499999999999</v>
      </c>
      <c r="E210" s="146">
        <v>321.82499999999999</v>
      </c>
      <c r="F210" s="146">
        <v>10.275</v>
      </c>
      <c r="G210" s="146">
        <v>318.7</v>
      </c>
      <c r="H210" s="146">
        <v>7.2</v>
      </c>
      <c r="I210" s="146">
        <v>522.85</v>
      </c>
      <c r="J210" s="146">
        <v>0</v>
      </c>
      <c r="K210" s="146">
        <v>0</v>
      </c>
      <c r="L210" s="146">
        <v>0</v>
      </c>
      <c r="M210" s="146">
        <v>100.05</v>
      </c>
      <c r="N210" s="146">
        <v>30</v>
      </c>
      <c r="O210" s="146">
        <v>139.15</v>
      </c>
      <c r="P210" s="183"/>
      <c r="Q210" s="183"/>
    </row>
    <row r="211" spans="1:17">
      <c r="A211" s="263"/>
      <c r="B211" s="145" t="s">
        <v>87</v>
      </c>
      <c r="C211" s="146">
        <v>1.5</v>
      </c>
      <c r="D211" s="146">
        <v>9</v>
      </c>
      <c r="E211" s="146">
        <v>0</v>
      </c>
      <c r="F211" s="146">
        <v>14</v>
      </c>
      <c r="G211" s="146">
        <v>0</v>
      </c>
      <c r="H211" s="146">
        <v>9</v>
      </c>
      <c r="I211" s="146">
        <v>60.5</v>
      </c>
      <c r="J211" s="146">
        <v>299.625</v>
      </c>
      <c r="K211" s="146">
        <v>284.55</v>
      </c>
      <c r="L211" s="146">
        <v>361.459</v>
      </c>
      <c r="M211" s="146">
        <v>76.349999999999994</v>
      </c>
      <c r="N211" s="146">
        <v>47.25</v>
      </c>
      <c r="O211" s="146">
        <v>85</v>
      </c>
      <c r="P211" s="183"/>
      <c r="Q211" s="183"/>
    </row>
    <row r="212" spans="1:17">
      <c r="A212" s="263"/>
      <c r="B212" s="145" t="s">
        <v>92</v>
      </c>
      <c r="C212" s="146">
        <v>0</v>
      </c>
      <c r="D212" s="146">
        <v>0</v>
      </c>
      <c r="E212" s="146">
        <v>0</v>
      </c>
      <c r="F212" s="146">
        <v>0</v>
      </c>
      <c r="G212" s="146">
        <v>0</v>
      </c>
      <c r="H212" s="146">
        <v>0</v>
      </c>
      <c r="I212" s="146">
        <v>0</v>
      </c>
      <c r="J212" s="146">
        <v>0</v>
      </c>
      <c r="K212" s="146">
        <v>0</v>
      </c>
      <c r="L212" s="146">
        <v>0</v>
      </c>
      <c r="M212" s="146">
        <v>0</v>
      </c>
      <c r="N212" s="146">
        <v>0</v>
      </c>
      <c r="O212" s="146">
        <v>0</v>
      </c>
      <c r="P212" s="183"/>
      <c r="Q212" s="183"/>
    </row>
    <row r="213" spans="1:17">
      <c r="A213" s="263"/>
      <c r="B213" s="145" t="s">
        <v>84</v>
      </c>
      <c r="C213" s="146">
        <v>1107.758</v>
      </c>
      <c r="D213" s="146">
        <v>3404.7750000000001</v>
      </c>
      <c r="E213" s="146">
        <v>8775.15</v>
      </c>
      <c r="F213" s="146">
        <v>17245.624</v>
      </c>
      <c r="G213" s="146">
        <v>12342.802</v>
      </c>
      <c r="H213" s="146">
        <v>5942.2259999999997</v>
      </c>
      <c r="I213" s="146">
        <v>11715.717000000001</v>
      </c>
      <c r="J213" s="146">
        <v>6043.3620000000001</v>
      </c>
      <c r="K213" s="146">
        <v>3037.88</v>
      </c>
      <c r="L213" s="146">
        <v>4937.223</v>
      </c>
      <c r="M213" s="146">
        <v>2907.0349999999999</v>
      </c>
      <c r="N213" s="146">
        <v>3403.0250000000001</v>
      </c>
      <c r="O213" s="146">
        <v>3800</v>
      </c>
      <c r="P213" s="183"/>
      <c r="Q213" s="183"/>
    </row>
    <row r="214" spans="1:17">
      <c r="A214" s="263"/>
      <c r="B214" s="145" t="s">
        <v>85</v>
      </c>
      <c r="C214" s="146">
        <v>1</v>
      </c>
      <c r="D214" s="146">
        <v>3.75</v>
      </c>
      <c r="E214" s="146">
        <v>4</v>
      </c>
      <c r="F214" s="146">
        <v>61.174999999999997</v>
      </c>
      <c r="G214" s="146">
        <v>10.925000000000001</v>
      </c>
      <c r="H214" s="146">
        <v>17.5</v>
      </c>
      <c r="I214" s="146">
        <v>0</v>
      </c>
      <c r="J214" s="146">
        <v>42.45</v>
      </c>
      <c r="K214" s="146">
        <v>35.475000000000001</v>
      </c>
      <c r="L214" s="146">
        <v>19.399999999999999</v>
      </c>
      <c r="M214" s="146">
        <v>6.7</v>
      </c>
      <c r="N214" s="146">
        <v>9.25</v>
      </c>
      <c r="O214" s="146">
        <v>15.25</v>
      </c>
      <c r="P214" s="183"/>
      <c r="Q214" s="183"/>
    </row>
    <row r="215" spans="1:17">
      <c r="A215" s="263"/>
      <c r="B215" s="145" t="s">
        <v>82</v>
      </c>
      <c r="C215" s="146">
        <v>28037.621999999999</v>
      </c>
      <c r="D215" s="146">
        <v>23687.084999999999</v>
      </c>
      <c r="E215" s="146">
        <v>23564.596000000001</v>
      </c>
      <c r="F215" s="146">
        <v>17764.125</v>
      </c>
      <c r="G215" s="146">
        <v>41513.373</v>
      </c>
      <c r="H215" s="146">
        <v>26517.401000000002</v>
      </c>
      <c r="I215" s="146">
        <v>25433.624</v>
      </c>
      <c r="J215" s="146">
        <v>17591.724999999999</v>
      </c>
      <c r="K215" s="146">
        <v>23246.357</v>
      </c>
      <c r="L215" s="146">
        <v>14903.813</v>
      </c>
      <c r="M215" s="146">
        <v>9228.6530000000002</v>
      </c>
      <c r="N215" s="146">
        <v>13417.55</v>
      </c>
      <c r="O215" s="146">
        <v>19331.099999999999</v>
      </c>
      <c r="P215" s="184"/>
      <c r="Q215" s="183"/>
    </row>
    <row r="216" spans="1:17">
      <c r="A216" s="262"/>
      <c r="B216" s="220" t="s">
        <v>0</v>
      </c>
      <c r="C216" s="222">
        <v>130662.018</v>
      </c>
      <c r="D216" s="222">
        <v>124832.243</v>
      </c>
      <c r="E216" s="222">
        <v>196473.524</v>
      </c>
      <c r="F216" s="222">
        <v>124748.409</v>
      </c>
      <c r="G216" s="222">
        <v>169266.897</v>
      </c>
      <c r="H216" s="222">
        <v>201245.72500000001</v>
      </c>
      <c r="I216" s="222">
        <v>261040.171</v>
      </c>
      <c r="J216" s="222">
        <v>223188.226</v>
      </c>
      <c r="K216" s="222">
        <v>158948.42600000001</v>
      </c>
      <c r="L216" s="222">
        <v>156582.54</v>
      </c>
      <c r="M216" s="222">
        <v>159151.913</v>
      </c>
      <c r="N216" s="222">
        <v>263539.43</v>
      </c>
      <c r="O216" s="222">
        <v>218846.85</v>
      </c>
      <c r="P216" s="184">
        <f>O216/C216-1</f>
        <v>0.67490792924995247</v>
      </c>
      <c r="Q216" s="183"/>
    </row>
    <row r="217" spans="1:17">
      <c r="A217" s="267" t="s">
        <v>81</v>
      </c>
      <c r="B217" s="145" t="s">
        <v>88</v>
      </c>
      <c r="C217" s="146">
        <v>0</v>
      </c>
      <c r="D217" s="146">
        <v>0</v>
      </c>
      <c r="E217" s="146">
        <v>0</v>
      </c>
      <c r="F217" s="146">
        <v>0</v>
      </c>
      <c r="G217" s="146">
        <v>0</v>
      </c>
      <c r="H217" s="146">
        <v>0</v>
      </c>
      <c r="I217" s="146">
        <v>0</v>
      </c>
      <c r="J217" s="146">
        <v>0</v>
      </c>
      <c r="K217" s="146">
        <v>0</v>
      </c>
      <c r="L217" s="146">
        <v>0</v>
      </c>
      <c r="M217" s="146">
        <v>0</v>
      </c>
      <c r="N217" s="146">
        <v>0</v>
      </c>
      <c r="O217" s="146">
        <v>0</v>
      </c>
      <c r="P217" s="185"/>
      <c r="Q217" s="183"/>
    </row>
    <row r="218" spans="1:17">
      <c r="A218" s="263"/>
      <c r="B218" s="145" t="s">
        <v>79</v>
      </c>
      <c r="C218" s="146">
        <v>673.35</v>
      </c>
      <c r="D218" s="146">
        <v>128.25</v>
      </c>
      <c r="E218" s="146">
        <v>205.75</v>
      </c>
      <c r="F218" s="146">
        <v>108.416</v>
      </c>
      <c r="G218" s="146">
        <v>0</v>
      </c>
      <c r="H218" s="146">
        <v>28.875</v>
      </c>
      <c r="I218" s="146">
        <v>43.225000000000001</v>
      </c>
      <c r="J218" s="146">
        <v>24.35</v>
      </c>
      <c r="K218" s="146">
        <v>50.225000000000001</v>
      </c>
      <c r="L218" s="146">
        <v>78.75</v>
      </c>
      <c r="M218" s="146">
        <v>484.8</v>
      </c>
      <c r="N218" s="146">
        <v>289.85000000000002</v>
      </c>
      <c r="O218" s="146">
        <v>938.7</v>
      </c>
      <c r="P218" s="183"/>
      <c r="Q218" s="183"/>
    </row>
    <row r="219" spans="1:17">
      <c r="A219" s="263"/>
      <c r="B219" s="145" t="s">
        <v>23</v>
      </c>
      <c r="C219" s="146">
        <v>45550.095000000001</v>
      </c>
      <c r="D219" s="146">
        <v>15727.6</v>
      </c>
      <c r="E219" s="146">
        <v>18188.05</v>
      </c>
      <c r="F219" s="146">
        <v>7771.009</v>
      </c>
      <c r="G219" s="146">
        <v>5794.3</v>
      </c>
      <c r="H219" s="146">
        <v>17066.666000000001</v>
      </c>
      <c r="I219" s="146">
        <v>18884.698</v>
      </c>
      <c r="J219" s="146">
        <v>30465.23</v>
      </c>
      <c r="K219" s="146">
        <v>26552.251</v>
      </c>
      <c r="L219" s="146">
        <v>33915.699999999997</v>
      </c>
      <c r="M219" s="146">
        <v>38070.457999999999</v>
      </c>
      <c r="N219" s="146">
        <v>42667.476000000002</v>
      </c>
      <c r="O219" s="146">
        <v>78421.95</v>
      </c>
      <c r="P219" s="183"/>
      <c r="Q219" s="183"/>
    </row>
    <row r="220" spans="1:17">
      <c r="A220" s="263"/>
      <c r="B220" s="145" t="s">
        <v>86</v>
      </c>
      <c r="C220" s="146">
        <v>276.35000000000002</v>
      </c>
      <c r="D220" s="146">
        <v>583.46299999999997</v>
      </c>
      <c r="E220" s="146">
        <v>527.45699999999999</v>
      </c>
      <c r="F220" s="146">
        <v>557.76400000000001</v>
      </c>
      <c r="G220" s="146">
        <v>686.75300000000004</v>
      </c>
      <c r="H220" s="146">
        <v>663.923</v>
      </c>
      <c r="I220" s="146">
        <v>535.89800000000002</v>
      </c>
      <c r="J220" s="146">
        <v>464.19200000000001</v>
      </c>
      <c r="K220" s="146">
        <v>423.447</v>
      </c>
      <c r="L220" s="146">
        <v>758.50800000000004</v>
      </c>
      <c r="M220" s="146">
        <v>689.47500000000002</v>
      </c>
      <c r="N220" s="146">
        <v>935.173</v>
      </c>
      <c r="O220" s="146">
        <v>668.6</v>
      </c>
      <c r="P220" s="183"/>
      <c r="Q220" s="183"/>
    </row>
    <row r="221" spans="1:17">
      <c r="A221" s="263"/>
      <c r="B221" s="145" t="s">
        <v>80</v>
      </c>
      <c r="C221" s="146">
        <v>79325.524999999994</v>
      </c>
      <c r="D221" s="146">
        <v>82022.430999999997</v>
      </c>
      <c r="E221" s="146">
        <v>45802.294000000002</v>
      </c>
      <c r="F221" s="146">
        <v>40764.557000000001</v>
      </c>
      <c r="G221" s="146">
        <v>48624.482000000004</v>
      </c>
      <c r="H221" s="146">
        <v>41321.692000000003</v>
      </c>
      <c r="I221" s="146">
        <v>25771.183000000001</v>
      </c>
      <c r="J221" s="146">
        <v>38344.226999999999</v>
      </c>
      <c r="K221" s="146">
        <v>45577.822999999997</v>
      </c>
      <c r="L221" s="146">
        <v>54566.771000000001</v>
      </c>
      <c r="M221" s="146">
        <v>41349.216999999997</v>
      </c>
      <c r="N221" s="146">
        <v>35243.148999999998</v>
      </c>
      <c r="O221" s="146">
        <v>53314.275000000001</v>
      </c>
      <c r="P221" s="183"/>
      <c r="Q221" s="183"/>
    </row>
    <row r="222" spans="1:17">
      <c r="A222" s="263"/>
      <c r="B222" s="145" t="s">
        <v>89</v>
      </c>
      <c r="C222" s="146">
        <v>0</v>
      </c>
      <c r="D222" s="146">
        <v>0</v>
      </c>
      <c r="E222" s="146">
        <v>0</v>
      </c>
      <c r="F222" s="146">
        <v>0</v>
      </c>
      <c r="G222" s="146">
        <v>0</v>
      </c>
      <c r="H222" s="146">
        <v>0</v>
      </c>
      <c r="I222" s="146">
        <v>0</v>
      </c>
      <c r="J222" s="146">
        <v>0</v>
      </c>
      <c r="K222" s="146">
        <v>0</v>
      </c>
      <c r="L222" s="146">
        <v>0</v>
      </c>
      <c r="M222" s="146">
        <v>0</v>
      </c>
      <c r="N222" s="146">
        <v>0</v>
      </c>
      <c r="O222" s="146">
        <v>0</v>
      </c>
      <c r="P222" s="183"/>
      <c r="Q222" s="183"/>
    </row>
    <row r="223" spans="1:17">
      <c r="A223" s="263"/>
      <c r="B223" s="145" t="s">
        <v>83</v>
      </c>
      <c r="C223" s="146">
        <v>42752.623</v>
      </c>
      <c r="D223" s="146">
        <v>74658.864000000001</v>
      </c>
      <c r="E223" s="146">
        <v>81347.735000000001</v>
      </c>
      <c r="F223" s="146">
        <v>132414.59400000001</v>
      </c>
      <c r="G223" s="146">
        <v>77983.278000000006</v>
      </c>
      <c r="H223" s="146">
        <v>42036.362000000001</v>
      </c>
      <c r="I223" s="146">
        <v>28492.343000000001</v>
      </c>
      <c r="J223" s="146">
        <v>34129.855000000003</v>
      </c>
      <c r="K223" s="146">
        <v>73676.551000000007</v>
      </c>
      <c r="L223" s="146">
        <v>80386.748999999996</v>
      </c>
      <c r="M223" s="146">
        <v>42290.15</v>
      </c>
      <c r="N223" s="146">
        <v>50300.607000000004</v>
      </c>
      <c r="O223" s="146">
        <v>95848.875</v>
      </c>
      <c r="P223" s="183"/>
      <c r="Q223" s="183"/>
    </row>
    <row r="224" spans="1:17">
      <c r="A224" s="263"/>
      <c r="B224" s="145" t="s">
        <v>90</v>
      </c>
      <c r="C224" s="146">
        <v>0</v>
      </c>
      <c r="D224" s="146">
        <v>0</v>
      </c>
      <c r="E224" s="146">
        <v>0</v>
      </c>
      <c r="F224" s="146">
        <v>0</v>
      </c>
      <c r="G224" s="146">
        <v>0</v>
      </c>
      <c r="H224" s="146">
        <v>0</v>
      </c>
      <c r="I224" s="146">
        <v>0</v>
      </c>
      <c r="J224" s="146">
        <v>0</v>
      </c>
      <c r="K224" s="146">
        <v>0</v>
      </c>
      <c r="L224" s="146">
        <v>0</v>
      </c>
      <c r="M224" s="146">
        <v>0</v>
      </c>
      <c r="N224" s="146">
        <v>0</v>
      </c>
      <c r="O224" s="146">
        <v>0</v>
      </c>
      <c r="P224" s="183"/>
      <c r="Q224" s="183"/>
    </row>
    <row r="225" spans="1:28">
      <c r="A225" s="263"/>
      <c r="B225" s="145" t="s">
        <v>274</v>
      </c>
      <c r="C225" s="146">
        <v>0</v>
      </c>
      <c r="D225" s="146">
        <v>0</v>
      </c>
      <c r="E225" s="146">
        <v>0</v>
      </c>
      <c r="F225" s="146">
        <v>0</v>
      </c>
      <c r="G225" s="146">
        <v>0</v>
      </c>
      <c r="H225" s="146">
        <v>0</v>
      </c>
      <c r="I225" s="146">
        <v>0</v>
      </c>
      <c r="J225" s="146">
        <v>0</v>
      </c>
      <c r="K225" s="146">
        <v>0</v>
      </c>
      <c r="L225" s="146">
        <v>0</v>
      </c>
      <c r="M225" s="146">
        <v>0</v>
      </c>
      <c r="N225" s="146">
        <v>0</v>
      </c>
      <c r="O225" s="146">
        <v>0</v>
      </c>
      <c r="P225" s="183"/>
      <c r="Q225" s="183"/>
    </row>
    <row r="226" spans="1:28">
      <c r="A226" s="263"/>
      <c r="B226" s="145" t="s">
        <v>19</v>
      </c>
      <c r="C226" s="146">
        <v>26953.973000000002</v>
      </c>
      <c r="D226" s="146">
        <v>55885.535000000003</v>
      </c>
      <c r="E226" s="146">
        <v>38845.872000000003</v>
      </c>
      <c r="F226" s="146">
        <v>39903.578000000001</v>
      </c>
      <c r="G226" s="146">
        <v>23028.602999999999</v>
      </c>
      <c r="H226" s="146">
        <v>24414.344000000001</v>
      </c>
      <c r="I226" s="146">
        <v>18123.583999999999</v>
      </c>
      <c r="J226" s="146">
        <v>20826.226999999999</v>
      </c>
      <c r="K226" s="146">
        <v>23009.672999999999</v>
      </c>
      <c r="L226" s="146">
        <v>45128.546000000002</v>
      </c>
      <c r="M226" s="146">
        <v>28604.075000000001</v>
      </c>
      <c r="N226" s="146">
        <v>51705.65</v>
      </c>
      <c r="O226" s="146">
        <v>50536.925000000003</v>
      </c>
      <c r="P226" s="183"/>
      <c r="Q226" s="183"/>
    </row>
    <row r="227" spans="1:28">
      <c r="A227" s="263"/>
      <c r="B227" s="145" t="s">
        <v>224</v>
      </c>
      <c r="C227" s="146">
        <v>0</v>
      </c>
      <c r="D227" s="146">
        <v>0</v>
      </c>
      <c r="E227" s="146">
        <v>0</v>
      </c>
      <c r="F227" s="146">
        <v>0</v>
      </c>
      <c r="G227" s="146">
        <v>0</v>
      </c>
      <c r="H227" s="146">
        <v>0</v>
      </c>
      <c r="I227" s="146">
        <v>0</v>
      </c>
      <c r="J227" s="146">
        <v>0</v>
      </c>
      <c r="K227" s="146">
        <v>0</v>
      </c>
      <c r="L227" s="146">
        <v>0</v>
      </c>
      <c r="M227" s="146">
        <v>0</v>
      </c>
      <c r="N227" s="146">
        <v>0</v>
      </c>
      <c r="O227" s="146">
        <v>0</v>
      </c>
      <c r="P227" s="183"/>
      <c r="Q227" s="183"/>
    </row>
    <row r="228" spans="1:28">
      <c r="A228" s="263"/>
      <c r="B228" s="145" t="s">
        <v>91</v>
      </c>
      <c r="C228" s="146">
        <v>0</v>
      </c>
      <c r="D228" s="146">
        <v>0</v>
      </c>
      <c r="E228" s="146">
        <v>0</v>
      </c>
      <c r="F228" s="146">
        <v>0</v>
      </c>
      <c r="G228" s="146">
        <v>0</v>
      </c>
      <c r="H228" s="146">
        <v>0</v>
      </c>
      <c r="I228" s="146">
        <v>0</v>
      </c>
      <c r="J228" s="146">
        <v>0</v>
      </c>
      <c r="K228" s="146">
        <v>0</v>
      </c>
      <c r="L228" s="146">
        <v>0</v>
      </c>
      <c r="M228" s="146">
        <v>0</v>
      </c>
      <c r="N228" s="146">
        <v>6955.3249999999998</v>
      </c>
      <c r="O228" s="146">
        <v>26087.775000000001</v>
      </c>
      <c r="P228" s="183"/>
      <c r="Q228" s="183"/>
    </row>
    <row r="229" spans="1:28">
      <c r="A229" s="263"/>
      <c r="B229" s="145" t="s">
        <v>78</v>
      </c>
      <c r="C229" s="146">
        <v>125.625</v>
      </c>
      <c r="D229" s="146">
        <v>733.57500000000005</v>
      </c>
      <c r="E229" s="146">
        <v>296.55</v>
      </c>
      <c r="F229" s="146">
        <v>772.65</v>
      </c>
      <c r="G229" s="146">
        <v>418.625</v>
      </c>
      <c r="H229" s="146">
        <v>350.47500000000002</v>
      </c>
      <c r="I229" s="146">
        <v>226.30799999999999</v>
      </c>
      <c r="J229" s="146">
        <v>0.4</v>
      </c>
      <c r="K229" s="146">
        <v>140</v>
      </c>
      <c r="L229" s="146">
        <v>0</v>
      </c>
      <c r="M229" s="146">
        <v>176.42500000000001</v>
      </c>
      <c r="N229" s="146">
        <v>415</v>
      </c>
      <c r="O229" s="146">
        <v>798.25</v>
      </c>
      <c r="P229" s="183"/>
      <c r="Q229" s="183"/>
    </row>
    <row r="230" spans="1:28">
      <c r="A230" s="263"/>
      <c r="B230" s="145" t="s">
        <v>87</v>
      </c>
      <c r="C230" s="146">
        <v>150.25</v>
      </c>
      <c r="D230" s="146">
        <v>91.974999999999994</v>
      </c>
      <c r="E230" s="146">
        <v>52.85</v>
      </c>
      <c r="F230" s="146">
        <v>256.20800000000003</v>
      </c>
      <c r="G230" s="146">
        <v>154.42500000000001</v>
      </c>
      <c r="H230" s="146">
        <v>130.041</v>
      </c>
      <c r="I230" s="146">
        <v>54.158000000000001</v>
      </c>
      <c r="J230" s="146">
        <v>122.11</v>
      </c>
      <c r="K230" s="146">
        <v>266.00099999999998</v>
      </c>
      <c r="L230" s="146">
        <v>214.92400000000001</v>
      </c>
      <c r="M230" s="146">
        <v>268.07499999999999</v>
      </c>
      <c r="N230" s="146">
        <v>35.75</v>
      </c>
      <c r="O230" s="146">
        <v>234</v>
      </c>
      <c r="P230" s="183"/>
      <c r="Q230" s="183"/>
    </row>
    <row r="231" spans="1:28">
      <c r="A231" s="263"/>
      <c r="B231" s="145" t="s">
        <v>92</v>
      </c>
      <c r="C231" s="146">
        <v>0</v>
      </c>
      <c r="D231" s="146">
        <v>0</v>
      </c>
      <c r="E231" s="146">
        <v>0</v>
      </c>
      <c r="F231" s="146">
        <v>0</v>
      </c>
      <c r="G231" s="146">
        <v>0</v>
      </c>
      <c r="H231" s="146">
        <v>0</v>
      </c>
      <c r="I231" s="146">
        <v>0</v>
      </c>
      <c r="J231" s="146">
        <v>0</v>
      </c>
      <c r="K231" s="146">
        <v>0</v>
      </c>
      <c r="L231" s="146">
        <v>0</v>
      </c>
      <c r="M231" s="146">
        <v>0</v>
      </c>
      <c r="N231" s="146">
        <v>0</v>
      </c>
      <c r="O231" s="146">
        <v>0</v>
      </c>
      <c r="P231" s="183"/>
      <c r="Q231" s="183"/>
    </row>
    <row r="232" spans="1:28">
      <c r="A232" s="263"/>
      <c r="B232" s="145" t="s">
        <v>84</v>
      </c>
      <c r="C232" s="146">
        <v>18925.839</v>
      </c>
      <c r="D232" s="146">
        <v>27726.135999999999</v>
      </c>
      <c r="E232" s="146">
        <v>35845.794000000002</v>
      </c>
      <c r="F232" s="146">
        <v>57108.222000000002</v>
      </c>
      <c r="G232" s="146">
        <v>74394.532000000007</v>
      </c>
      <c r="H232" s="146">
        <v>44510.667000000001</v>
      </c>
      <c r="I232" s="146">
        <v>33083.256999999998</v>
      </c>
      <c r="J232" s="146">
        <v>23626.941999999999</v>
      </c>
      <c r="K232" s="146">
        <v>44275.593999999997</v>
      </c>
      <c r="L232" s="146">
        <v>20296.477999999999</v>
      </c>
      <c r="M232" s="146">
        <v>10034.625</v>
      </c>
      <c r="N232" s="146">
        <v>11185.225</v>
      </c>
      <c r="O232" s="146">
        <v>23892.075000000001</v>
      </c>
      <c r="P232" s="183"/>
      <c r="Q232" s="183"/>
    </row>
    <row r="233" spans="1:28">
      <c r="A233" s="263"/>
      <c r="B233" s="145" t="s">
        <v>85</v>
      </c>
      <c r="C233" s="146">
        <v>33.4</v>
      </c>
      <c r="D233" s="146">
        <v>243</v>
      </c>
      <c r="E233" s="146">
        <v>166.25</v>
      </c>
      <c r="F233" s="146">
        <v>913.05</v>
      </c>
      <c r="G233" s="146">
        <v>447.3</v>
      </c>
      <c r="H233" s="146">
        <v>258.75</v>
      </c>
      <c r="I233" s="146">
        <v>95.025000000000006</v>
      </c>
      <c r="J233" s="146">
        <v>300.3</v>
      </c>
      <c r="K233" s="146">
        <v>851.55</v>
      </c>
      <c r="L233" s="146">
        <v>1234.2249999999999</v>
      </c>
      <c r="M233" s="146">
        <v>817.65</v>
      </c>
      <c r="N233" s="146">
        <v>1436.25</v>
      </c>
      <c r="O233" s="146">
        <v>2461.75</v>
      </c>
      <c r="P233" s="184"/>
      <c r="Q233" s="184"/>
    </row>
    <row r="234" spans="1:28">
      <c r="A234" s="263"/>
      <c r="B234" s="145" t="s">
        <v>82</v>
      </c>
      <c r="C234" s="146">
        <v>16698.8</v>
      </c>
      <c r="D234" s="146">
        <v>23769.14</v>
      </c>
      <c r="E234" s="146">
        <v>22715.875</v>
      </c>
      <c r="F234" s="146">
        <v>23154.973999999998</v>
      </c>
      <c r="G234" s="146">
        <v>27594.224999999999</v>
      </c>
      <c r="H234" s="146">
        <v>16767.825000000001</v>
      </c>
      <c r="I234" s="146">
        <v>8009.9250000000002</v>
      </c>
      <c r="J234" s="146">
        <v>8058.9750000000004</v>
      </c>
      <c r="K234" s="146">
        <v>17383.25</v>
      </c>
      <c r="L234" s="146">
        <v>19175.525000000001</v>
      </c>
      <c r="M234" s="146">
        <v>10980.45</v>
      </c>
      <c r="N234" s="146">
        <v>9205.7000000000007</v>
      </c>
      <c r="O234" s="146">
        <v>28796.799999999999</v>
      </c>
      <c r="P234" s="140"/>
      <c r="Q234" s="140"/>
    </row>
    <row r="235" spans="1:28">
      <c r="A235" s="262"/>
      <c r="B235" s="220" t="s">
        <v>0</v>
      </c>
      <c r="C235" s="222">
        <v>231465.83</v>
      </c>
      <c r="D235" s="222">
        <v>281569.96899999998</v>
      </c>
      <c r="E235" s="222">
        <v>243994.47700000001</v>
      </c>
      <c r="F235" s="222">
        <v>303725.022</v>
      </c>
      <c r="G235" s="222">
        <v>259126.52299999999</v>
      </c>
      <c r="H235" s="222">
        <v>187549.62</v>
      </c>
      <c r="I235" s="222">
        <v>133319.60399999999</v>
      </c>
      <c r="J235" s="222">
        <v>156362.80799999999</v>
      </c>
      <c r="K235" s="222">
        <v>232206.36499999999</v>
      </c>
      <c r="L235" s="222">
        <v>255756.17600000001</v>
      </c>
      <c r="M235" s="222">
        <v>173765.4</v>
      </c>
      <c r="N235" s="222">
        <v>210375.155</v>
      </c>
      <c r="O235" s="222">
        <v>361999.97499999998</v>
      </c>
      <c r="P235" s="184">
        <f>O235/C235-1</f>
        <v>0.56394563724589508</v>
      </c>
      <c r="Q235" s="184">
        <f>(O216+O235)/(C235+C216)-1</f>
        <v>0.60398275970203752</v>
      </c>
    </row>
    <row r="236" spans="1:28">
      <c r="C236" s="200"/>
      <c r="O236" s="200"/>
      <c r="P236" s="192"/>
      <c r="Q236" s="192"/>
      <c r="R236" s="192"/>
      <c r="S236" s="192"/>
      <c r="T236" s="192"/>
      <c r="U236" s="192"/>
      <c r="V236" s="192"/>
      <c r="W236" s="192"/>
      <c r="X236" s="192"/>
      <c r="Y236" s="192"/>
      <c r="Z236" s="192"/>
      <c r="AA236" s="192"/>
      <c r="AB236" s="192"/>
    </row>
    <row r="237" spans="1:28">
      <c r="O237" s="200"/>
      <c r="P237" s="192"/>
      <c r="Q237" s="192"/>
      <c r="R237" s="192"/>
      <c r="S237" s="192"/>
      <c r="T237" s="192"/>
      <c r="U237" s="192"/>
      <c r="V237" s="192"/>
      <c r="W237" s="192"/>
      <c r="X237" s="192"/>
      <c r="Y237" s="192"/>
      <c r="Z237" s="192"/>
      <c r="AA237" s="192"/>
      <c r="AB237" s="192"/>
    </row>
    <row r="238" spans="1:28">
      <c r="P238" s="192"/>
      <c r="Q238" s="192"/>
      <c r="R238" s="192"/>
      <c r="S238" s="192"/>
      <c r="T238" s="192"/>
      <c r="U238" s="192"/>
      <c r="V238" s="192"/>
      <c r="W238" s="192"/>
      <c r="X238" s="192"/>
      <c r="Y238" s="192"/>
      <c r="Z238" s="192"/>
      <c r="AA238" s="192"/>
      <c r="AB238" s="192"/>
    </row>
    <row r="239" spans="1:28">
      <c r="P239" s="192"/>
      <c r="Q239" s="192"/>
      <c r="R239" s="192"/>
      <c r="S239" s="192"/>
      <c r="T239" s="192"/>
      <c r="U239" s="192"/>
      <c r="V239" s="192"/>
      <c r="W239" s="192"/>
      <c r="X239" s="192"/>
      <c r="Y239" s="192"/>
      <c r="Z239" s="192"/>
      <c r="AA239" s="192"/>
      <c r="AB239" s="192"/>
    </row>
    <row r="240" spans="1:28">
      <c r="P240" s="192"/>
      <c r="Q240" s="192"/>
      <c r="R240" s="192"/>
      <c r="S240" s="192"/>
      <c r="T240" s="192"/>
      <c r="U240" s="192"/>
      <c r="V240" s="192"/>
      <c r="W240" s="192"/>
      <c r="X240" s="192"/>
      <c r="Y240" s="192"/>
      <c r="Z240" s="192"/>
      <c r="AA240" s="192"/>
      <c r="AB240" s="192"/>
    </row>
    <row r="241" spans="1:28">
      <c r="P241" s="192"/>
      <c r="Q241" s="192"/>
      <c r="R241" s="192"/>
      <c r="S241" s="192"/>
      <c r="T241" s="192"/>
      <c r="U241" s="192"/>
      <c r="V241" s="192"/>
      <c r="W241" s="192"/>
      <c r="X241" s="192"/>
      <c r="Y241" s="192"/>
      <c r="Z241" s="192"/>
      <c r="AA241" s="192"/>
      <c r="AB241" s="192"/>
    </row>
    <row r="242" spans="1:28">
      <c r="O242" s="200"/>
      <c r="P242" s="192"/>
      <c r="Q242" s="192"/>
      <c r="R242" s="192"/>
      <c r="S242" s="192"/>
      <c r="T242" s="192"/>
      <c r="U242" s="192"/>
      <c r="V242" s="192"/>
      <c r="W242" s="192"/>
      <c r="X242" s="192"/>
      <c r="Y242" s="192"/>
      <c r="Z242" s="192"/>
      <c r="AA242" s="192"/>
      <c r="AB242" s="192"/>
    </row>
    <row r="243" spans="1:28">
      <c r="O243" s="200"/>
      <c r="P243" s="192"/>
      <c r="Q243" s="192"/>
      <c r="R243" s="192"/>
      <c r="S243" s="192"/>
      <c r="T243" s="192"/>
      <c r="U243" s="192"/>
      <c r="V243" s="192"/>
      <c r="W243" s="192"/>
      <c r="X243" s="192"/>
      <c r="Y243" s="192"/>
      <c r="Z243" s="192"/>
      <c r="AA243" s="192"/>
      <c r="AB243" s="192"/>
    </row>
    <row r="244" spans="1:28">
      <c r="O244" s="200"/>
      <c r="P244" s="192"/>
      <c r="Q244" s="192"/>
      <c r="R244" s="192"/>
      <c r="S244" s="192"/>
      <c r="T244" s="192"/>
      <c r="U244" s="192"/>
      <c r="V244" s="192"/>
      <c r="W244" s="192"/>
      <c r="X244" s="192"/>
      <c r="Y244" s="192"/>
      <c r="Z244" s="192"/>
      <c r="AA244" s="192"/>
      <c r="AB244" s="192"/>
    </row>
    <row r="245" spans="1:28">
      <c r="P245" s="192"/>
      <c r="Q245" s="192"/>
      <c r="R245" s="192"/>
      <c r="S245" s="192"/>
      <c r="T245" s="192"/>
      <c r="U245" s="192"/>
      <c r="V245" s="192"/>
      <c r="W245" s="192"/>
      <c r="X245" s="192"/>
      <c r="Y245" s="192"/>
      <c r="Z245" s="192"/>
      <c r="AA245" s="192"/>
      <c r="AB245" s="192"/>
    </row>
    <row r="246" spans="1:28">
      <c r="P246" s="192"/>
      <c r="Q246" s="192"/>
      <c r="R246" s="192"/>
      <c r="S246" s="192"/>
      <c r="T246" s="192"/>
      <c r="U246" s="192"/>
      <c r="V246" s="192"/>
      <c r="W246" s="192"/>
      <c r="X246" s="192"/>
      <c r="Y246" s="192"/>
      <c r="Z246" s="192"/>
      <c r="AA246" s="192"/>
      <c r="AB246" s="192"/>
    </row>
    <row r="247" spans="1:28">
      <c r="O247" s="192"/>
      <c r="P247" s="192"/>
      <c r="Q247" s="192"/>
      <c r="R247" s="192"/>
      <c r="S247" s="192"/>
      <c r="T247" s="192"/>
      <c r="U247" s="192"/>
      <c r="V247" s="192"/>
      <c r="W247" s="192"/>
      <c r="X247" s="192"/>
      <c r="Y247" s="192"/>
      <c r="Z247" s="192"/>
      <c r="AA247" s="192"/>
      <c r="AB247" s="192"/>
    </row>
    <row r="248" spans="1:28">
      <c r="O248" s="192"/>
      <c r="P248" s="192"/>
      <c r="Q248" s="192"/>
      <c r="R248" s="192"/>
      <c r="S248" s="192"/>
      <c r="T248" s="192"/>
      <c r="U248" s="192"/>
      <c r="V248" s="192"/>
      <c r="W248" s="192"/>
      <c r="X248" s="192"/>
      <c r="Y248" s="192"/>
      <c r="Z248" s="192"/>
      <c r="AA248" s="192"/>
      <c r="AB248" s="192"/>
    </row>
    <row r="249" spans="1:28">
      <c r="A249" s="193"/>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row>
    <row r="250" spans="1:28">
      <c r="P250" s="192"/>
      <c r="Q250" s="192"/>
      <c r="R250" s="192"/>
      <c r="S250" s="192"/>
      <c r="T250" s="192"/>
      <c r="U250" s="192"/>
      <c r="V250" s="192"/>
      <c r="W250" s="192"/>
      <c r="X250" s="192"/>
      <c r="Y250" s="192"/>
      <c r="Z250" s="192"/>
      <c r="AA250" s="192"/>
      <c r="AB250" s="192"/>
    </row>
    <row r="251" spans="1:28">
      <c r="P251" s="192"/>
      <c r="Q251" s="192"/>
      <c r="R251" s="192"/>
      <c r="S251" s="192"/>
      <c r="T251" s="192"/>
      <c r="U251" s="192"/>
      <c r="V251" s="192"/>
      <c r="W251" s="192"/>
      <c r="X251" s="192"/>
      <c r="Y251" s="192"/>
      <c r="Z251" s="192"/>
      <c r="AA251" s="192"/>
      <c r="AB251" s="192"/>
    </row>
    <row r="252" spans="1:28">
      <c r="Q252" s="192"/>
      <c r="R252" s="192"/>
      <c r="S252" s="192"/>
      <c r="T252" s="192"/>
      <c r="U252" s="192"/>
      <c r="V252" s="192"/>
      <c r="W252" s="192"/>
      <c r="X252" s="192"/>
      <c r="Y252" s="192"/>
      <c r="Z252" s="192"/>
      <c r="AA252" s="192"/>
      <c r="AB252" s="192"/>
    </row>
    <row r="253" spans="1:28">
      <c r="Q253" s="183"/>
    </row>
    <row r="254" spans="1:28">
      <c r="Q254" s="183"/>
    </row>
    <row r="255" spans="1:28">
      <c r="Q255" s="183"/>
    </row>
    <row r="256" spans="1:28">
      <c r="Q256" s="183"/>
    </row>
    <row r="257" spans="1:17">
      <c r="A257" s="88" t="s">
        <v>228</v>
      </c>
      <c r="C257" s="195" t="str">
        <f>MID(C259,6,1)</f>
        <v>E</v>
      </c>
      <c r="D257" s="195" t="str">
        <f t="shared" ref="D257:O257" si="8">MID(D259,6,1)</f>
        <v>F</v>
      </c>
      <c r="E257" s="195" t="str">
        <f t="shared" si="8"/>
        <v>M</v>
      </c>
      <c r="F257" s="195" t="str">
        <f t="shared" si="8"/>
        <v>A</v>
      </c>
      <c r="G257" s="195" t="str">
        <f t="shared" si="8"/>
        <v>M</v>
      </c>
      <c r="H257" s="195" t="str">
        <f t="shared" si="8"/>
        <v>J</v>
      </c>
      <c r="I257" s="195" t="str">
        <f t="shared" si="8"/>
        <v>J</v>
      </c>
      <c r="J257" s="195" t="str">
        <f t="shared" si="8"/>
        <v>A</v>
      </c>
      <c r="K257" s="195" t="str">
        <f t="shared" si="8"/>
        <v>S</v>
      </c>
      <c r="L257" s="195" t="str">
        <f t="shared" si="8"/>
        <v>O</v>
      </c>
      <c r="M257" s="195" t="str">
        <f t="shared" si="8"/>
        <v>N</v>
      </c>
      <c r="N257" s="195" t="str">
        <f t="shared" si="8"/>
        <v>D</v>
      </c>
      <c r="O257" s="195" t="str">
        <f t="shared" si="8"/>
        <v>E</v>
      </c>
      <c r="Q257" s="183"/>
    </row>
    <row r="258" spans="1:17">
      <c r="A258" s="143"/>
      <c r="B258" s="143" t="s">
        <v>27</v>
      </c>
      <c r="C258" s="259" t="s">
        <v>225</v>
      </c>
      <c r="D258" s="260"/>
      <c r="E258" s="260"/>
      <c r="F258" s="260"/>
      <c r="G258" s="260"/>
      <c r="H258" s="260"/>
      <c r="I258" s="260"/>
      <c r="J258" s="260"/>
      <c r="K258" s="260"/>
      <c r="L258" s="260"/>
      <c r="M258" s="260"/>
      <c r="N258" s="260"/>
      <c r="O258" s="260"/>
      <c r="Q258" s="183"/>
    </row>
    <row r="259" spans="1:17">
      <c r="A259" s="143"/>
      <c r="B259" s="143" t="s">
        <v>93</v>
      </c>
      <c r="C259" s="172" t="s">
        <v>263</v>
      </c>
      <c r="D259" s="172" t="s">
        <v>265</v>
      </c>
      <c r="E259" s="172" t="s">
        <v>268</v>
      </c>
      <c r="F259" s="172" t="s">
        <v>272</v>
      </c>
      <c r="G259" s="172" t="s">
        <v>276</v>
      </c>
      <c r="H259" s="172" t="s">
        <v>278</v>
      </c>
      <c r="I259" s="172" t="s">
        <v>280</v>
      </c>
      <c r="J259" s="172" t="s">
        <v>282</v>
      </c>
      <c r="K259" s="172" t="s">
        <v>284</v>
      </c>
      <c r="L259" s="172" t="s">
        <v>291</v>
      </c>
      <c r="M259" s="172" t="s">
        <v>294</v>
      </c>
      <c r="N259" s="172" t="s">
        <v>296</v>
      </c>
      <c r="O259" s="172" t="s">
        <v>331</v>
      </c>
      <c r="Q259" s="183"/>
    </row>
    <row r="260" spans="1:17">
      <c r="A260" s="143" t="s">
        <v>126</v>
      </c>
      <c r="B260" s="143" t="s">
        <v>127</v>
      </c>
      <c r="C260" s="170"/>
      <c r="D260" s="170"/>
      <c r="E260" s="170"/>
      <c r="F260" s="170"/>
      <c r="G260" s="170"/>
      <c r="H260" s="170"/>
      <c r="I260" s="170"/>
      <c r="J260" s="170"/>
      <c r="K260" s="170"/>
      <c r="L260" s="170"/>
      <c r="M260" s="170"/>
      <c r="N260" s="170"/>
      <c r="O260" s="170"/>
      <c r="Q260" s="183"/>
    </row>
    <row r="261" spans="1:17">
      <c r="A261" s="261" t="s">
        <v>77</v>
      </c>
      <c r="B261" s="145" t="s">
        <v>88</v>
      </c>
      <c r="C261" s="146">
        <v>0</v>
      </c>
      <c r="D261" s="146">
        <v>0</v>
      </c>
      <c r="E261" s="146">
        <v>0</v>
      </c>
      <c r="F261" s="146">
        <v>0</v>
      </c>
      <c r="G261" s="146">
        <v>0</v>
      </c>
      <c r="H261" s="146">
        <v>0</v>
      </c>
      <c r="I261" s="146">
        <v>0</v>
      </c>
      <c r="J261" s="146">
        <v>0</v>
      </c>
      <c r="K261" s="146">
        <v>0</v>
      </c>
      <c r="L261" s="146">
        <v>0</v>
      </c>
      <c r="M261" s="146">
        <v>0</v>
      </c>
      <c r="N261" s="146">
        <v>0</v>
      </c>
      <c r="O261" s="146">
        <v>0</v>
      </c>
      <c r="Q261" s="183"/>
    </row>
    <row r="262" spans="1:17">
      <c r="A262" s="263"/>
      <c r="B262" s="145" t="s">
        <v>79</v>
      </c>
      <c r="C262" s="146">
        <v>460</v>
      </c>
      <c r="D262" s="146">
        <v>20</v>
      </c>
      <c r="E262" s="146">
        <v>0</v>
      </c>
      <c r="F262" s="146">
        <v>0</v>
      </c>
      <c r="G262" s="146">
        <v>0</v>
      </c>
      <c r="H262" s="146">
        <v>8.25</v>
      </c>
      <c r="I262" s="146">
        <v>0</v>
      </c>
      <c r="J262" s="146">
        <v>0</v>
      </c>
      <c r="K262" s="146">
        <v>127.5</v>
      </c>
      <c r="L262" s="146">
        <v>362</v>
      </c>
      <c r="M262" s="146">
        <v>1633</v>
      </c>
      <c r="N262" s="146">
        <v>2088.5</v>
      </c>
      <c r="O262" s="146">
        <v>693</v>
      </c>
      <c r="Q262" s="183"/>
    </row>
    <row r="263" spans="1:17">
      <c r="A263" s="263"/>
      <c r="B263" s="145" t="s">
        <v>23</v>
      </c>
      <c r="C263" s="146">
        <v>124757.625</v>
      </c>
      <c r="D263" s="146">
        <v>52851.55</v>
      </c>
      <c r="E263" s="146">
        <v>20211.7</v>
      </c>
      <c r="F263" s="146">
        <v>21810.125</v>
      </c>
      <c r="G263" s="146">
        <v>32926.224999999999</v>
      </c>
      <c r="H263" s="146">
        <v>64006.1</v>
      </c>
      <c r="I263" s="146">
        <v>163340.42499999999</v>
      </c>
      <c r="J263" s="146">
        <v>165694.04999999999</v>
      </c>
      <c r="K263" s="146">
        <v>125756.45</v>
      </c>
      <c r="L263" s="146">
        <v>89216.125</v>
      </c>
      <c r="M263" s="146">
        <v>197862.55</v>
      </c>
      <c r="N263" s="146">
        <v>213803.25</v>
      </c>
      <c r="O263" s="146">
        <v>129121.52499999999</v>
      </c>
      <c r="P263" s="183"/>
      <c r="Q263" s="183"/>
    </row>
    <row r="264" spans="1:17">
      <c r="A264" s="263"/>
      <c r="B264" s="145" t="s">
        <v>86</v>
      </c>
      <c r="C264" s="146">
        <v>36.5</v>
      </c>
      <c r="D264" s="146">
        <v>0</v>
      </c>
      <c r="E264" s="146">
        <v>16</v>
      </c>
      <c r="F264" s="146">
        <v>30.5</v>
      </c>
      <c r="G264" s="146">
        <v>8.25</v>
      </c>
      <c r="H264" s="146">
        <v>103.2</v>
      </c>
      <c r="I264" s="146">
        <v>13.175000000000001</v>
      </c>
      <c r="J264" s="146">
        <v>45.65</v>
      </c>
      <c r="K264" s="146">
        <v>14.25</v>
      </c>
      <c r="L264" s="146">
        <v>24.5</v>
      </c>
      <c r="M264" s="146">
        <v>6</v>
      </c>
      <c r="N264" s="146">
        <v>2.75</v>
      </c>
      <c r="O264" s="146">
        <v>0</v>
      </c>
      <c r="P264" s="183"/>
      <c r="Q264" s="183"/>
    </row>
    <row r="265" spans="1:17">
      <c r="A265" s="263"/>
      <c r="B265" s="145" t="s">
        <v>80</v>
      </c>
      <c r="C265" s="146">
        <v>10274.75</v>
      </c>
      <c r="D265" s="146">
        <v>13379.5</v>
      </c>
      <c r="E265" s="146">
        <v>15172.75</v>
      </c>
      <c r="F265" s="146">
        <v>7407.5</v>
      </c>
      <c r="G265" s="146">
        <v>9859.75</v>
      </c>
      <c r="H265" s="146">
        <v>17882.150000000001</v>
      </c>
      <c r="I265" s="146">
        <v>15875.5</v>
      </c>
      <c r="J265" s="146">
        <v>8039.05</v>
      </c>
      <c r="K265" s="146">
        <v>7439.25</v>
      </c>
      <c r="L265" s="146">
        <v>12368</v>
      </c>
      <c r="M265" s="146">
        <v>6237.75</v>
      </c>
      <c r="N265" s="146">
        <v>7032</v>
      </c>
      <c r="O265" s="146">
        <v>12204.95</v>
      </c>
      <c r="P265" s="183"/>
      <c r="Q265" s="183"/>
    </row>
    <row r="266" spans="1:17">
      <c r="A266" s="263"/>
      <c r="B266" s="145" t="s">
        <v>89</v>
      </c>
      <c r="C266" s="146">
        <v>0</v>
      </c>
      <c r="D266" s="146">
        <v>0</v>
      </c>
      <c r="E266" s="146">
        <v>0</v>
      </c>
      <c r="F266" s="146">
        <v>0</v>
      </c>
      <c r="G266" s="146">
        <v>0</v>
      </c>
      <c r="H266" s="146">
        <v>0</v>
      </c>
      <c r="I266" s="146">
        <v>0</v>
      </c>
      <c r="J266" s="146">
        <v>0</v>
      </c>
      <c r="K266" s="146">
        <v>0</v>
      </c>
      <c r="L266" s="146">
        <v>0</v>
      </c>
      <c r="M266" s="146">
        <v>0</v>
      </c>
      <c r="N266" s="146">
        <v>0</v>
      </c>
      <c r="O266" s="146">
        <v>0</v>
      </c>
      <c r="P266" s="184"/>
      <c r="Q266" s="183"/>
    </row>
    <row r="267" spans="1:17">
      <c r="A267" s="263"/>
      <c r="B267" s="145" t="s">
        <v>83</v>
      </c>
      <c r="C267" s="146">
        <v>14486.075000000001</v>
      </c>
      <c r="D267" s="146">
        <v>25612.974999999999</v>
      </c>
      <c r="E267" s="146">
        <v>79915.274999999994</v>
      </c>
      <c r="F267" s="146">
        <v>29149.474999999999</v>
      </c>
      <c r="G267" s="146">
        <v>13277.424999999999</v>
      </c>
      <c r="H267" s="146">
        <v>17743.05</v>
      </c>
      <c r="I267" s="146">
        <v>20474.400000000001</v>
      </c>
      <c r="J267" s="146">
        <v>12857.125</v>
      </c>
      <c r="K267" s="146">
        <v>10297.075000000001</v>
      </c>
      <c r="L267" s="146">
        <v>17407.400000000001</v>
      </c>
      <c r="M267" s="146">
        <v>18914.650000000001</v>
      </c>
      <c r="N267" s="146">
        <v>19104.8</v>
      </c>
      <c r="O267" s="146">
        <v>19423.2</v>
      </c>
      <c r="P267" s="183"/>
      <c r="Q267" s="183"/>
    </row>
    <row r="268" spans="1:17">
      <c r="A268" s="263"/>
      <c r="B268" s="145" t="s">
        <v>90</v>
      </c>
      <c r="C268" s="146">
        <v>0</v>
      </c>
      <c r="D268" s="146">
        <v>0</v>
      </c>
      <c r="E268" s="146">
        <v>0</v>
      </c>
      <c r="F268" s="146">
        <v>0</v>
      </c>
      <c r="G268" s="146">
        <v>0</v>
      </c>
      <c r="H268" s="146">
        <v>0</v>
      </c>
      <c r="I268" s="146">
        <v>0</v>
      </c>
      <c r="J268" s="146">
        <v>0</v>
      </c>
      <c r="K268" s="146">
        <v>0</v>
      </c>
      <c r="L268" s="146">
        <v>0</v>
      </c>
      <c r="M268" s="146">
        <v>0</v>
      </c>
      <c r="N268" s="146">
        <v>0</v>
      </c>
      <c r="O268" s="146">
        <v>0</v>
      </c>
      <c r="P268" s="183"/>
      <c r="Q268" s="183"/>
    </row>
    <row r="269" spans="1:17">
      <c r="A269" s="263"/>
      <c r="B269" s="145" t="s">
        <v>274</v>
      </c>
      <c r="C269" s="146">
        <v>0</v>
      </c>
      <c r="D269" s="146">
        <v>0</v>
      </c>
      <c r="E269" s="146">
        <v>0</v>
      </c>
      <c r="F269" s="146">
        <v>0</v>
      </c>
      <c r="G269" s="146">
        <v>0</v>
      </c>
      <c r="H269" s="146">
        <v>0</v>
      </c>
      <c r="I269" s="146">
        <v>0</v>
      </c>
      <c r="J269" s="146">
        <v>0</v>
      </c>
      <c r="K269" s="146">
        <v>0</v>
      </c>
      <c r="L269" s="146">
        <v>0</v>
      </c>
      <c r="M269" s="146">
        <v>0</v>
      </c>
      <c r="N269" s="146">
        <v>0</v>
      </c>
      <c r="O269" s="146">
        <v>0</v>
      </c>
      <c r="P269" s="183"/>
      <c r="Q269" s="183"/>
    </row>
    <row r="270" spans="1:17">
      <c r="A270" s="263"/>
      <c r="B270" s="145" t="s">
        <v>19</v>
      </c>
      <c r="C270" s="146">
        <v>21436.375</v>
      </c>
      <c r="D270" s="146">
        <v>22889.05</v>
      </c>
      <c r="E270" s="146">
        <v>21242.6</v>
      </c>
      <c r="F270" s="146">
        <v>29669.674999999999</v>
      </c>
      <c r="G270" s="146">
        <v>27349.875</v>
      </c>
      <c r="H270" s="146">
        <v>34456.25</v>
      </c>
      <c r="I270" s="146">
        <v>28817.424999999999</v>
      </c>
      <c r="J270" s="146">
        <v>18607.349999999999</v>
      </c>
      <c r="K270" s="146">
        <v>15957.25</v>
      </c>
      <c r="L270" s="146">
        <v>25102.724999999999</v>
      </c>
      <c r="M270" s="146">
        <v>20039.8</v>
      </c>
      <c r="N270" s="146">
        <v>26686.775000000001</v>
      </c>
      <c r="O270" s="146">
        <v>30557.85</v>
      </c>
      <c r="P270" s="183"/>
      <c r="Q270" s="183"/>
    </row>
    <row r="271" spans="1:17">
      <c r="A271" s="263"/>
      <c r="B271" s="145" t="s">
        <v>224</v>
      </c>
      <c r="C271" s="146">
        <v>0</v>
      </c>
      <c r="D271" s="146">
        <v>0</v>
      </c>
      <c r="E271" s="146">
        <v>0</v>
      </c>
      <c r="F271" s="146">
        <v>0</v>
      </c>
      <c r="G271" s="146">
        <v>0</v>
      </c>
      <c r="H271" s="146">
        <v>0</v>
      </c>
      <c r="I271" s="146">
        <v>0</v>
      </c>
      <c r="J271" s="146">
        <v>0</v>
      </c>
      <c r="K271" s="146">
        <v>0</v>
      </c>
      <c r="L271" s="146">
        <v>0</v>
      </c>
      <c r="M271" s="146">
        <v>0</v>
      </c>
      <c r="N271" s="146">
        <v>0</v>
      </c>
      <c r="O271" s="146">
        <v>0</v>
      </c>
      <c r="P271" s="183"/>
      <c r="Q271" s="183"/>
    </row>
    <row r="272" spans="1:17">
      <c r="A272" s="263"/>
      <c r="B272" s="145" t="s">
        <v>91</v>
      </c>
      <c r="C272" s="146">
        <v>0</v>
      </c>
      <c r="D272" s="146">
        <v>0</v>
      </c>
      <c r="E272" s="146">
        <v>0</v>
      </c>
      <c r="F272" s="146">
        <v>0</v>
      </c>
      <c r="G272" s="146">
        <v>0</v>
      </c>
      <c r="H272" s="146">
        <v>0</v>
      </c>
      <c r="I272" s="146">
        <v>0</v>
      </c>
      <c r="J272" s="146">
        <v>0</v>
      </c>
      <c r="K272" s="146">
        <v>0</v>
      </c>
      <c r="L272" s="146">
        <v>0</v>
      </c>
      <c r="M272" s="146">
        <v>0</v>
      </c>
      <c r="N272" s="146">
        <v>0</v>
      </c>
      <c r="O272" s="146">
        <v>0</v>
      </c>
      <c r="P272" s="183"/>
      <c r="Q272" s="183"/>
    </row>
    <row r="273" spans="1:18">
      <c r="A273" s="263"/>
      <c r="B273" s="145" t="s">
        <v>78</v>
      </c>
      <c r="C273" s="146">
        <v>74.75</v>
      </c>
      <c r="D273" s="146">
        <v>494</v>
      </c>
      <c r="E273" s="146">
        <v>605.375</v>
      </c>
      <c r="F273" s="146">
        <v>24.5</v>
      </c>
      <c r="G273" s="146">
        <v>201.3</v>
      </c>
      <c r="H273" s="146">
        <v>1.325</v>
      </c>
      <c r="I273" s="146">
        <v>238.82499999999999</v>
      </c>
      <c r="J273" s="146">
        <v>342</v>
      </c>
      <c r="K273" s="146">
        <v>0</v>
      </c>
      <c r="L273" s="146">
        <v>0</v>
      </c>
      <c r="M273" s="146">
        <v>119.52500000000001</v>
      </c>
      <c r="N273" s="146">
        <v>15.75</v>
      </c>
      <c r="O273" s="146">
        <v>369.95</v>
      </c>
      <c r="P273" s="183"/>
      <c r="Q273" s="183"/>
    </row>
    <row r="274" spans="1:18">
      <c r="A274" s="263"/>
      <c r="B274" s="145" t="s">
        <v>87</v>
      </c>
      <c r="C274" s="146">
        <v>24</v>
      </c>
      <c r="D274" s="146">
        <v>7</v>
      </c>
      <c r="E274" s="146">
        <v>3</v>
      </c>
      <c r="F274" s="146">
        <v>30</v>
      </c>
      <c r="G274" s="146">
        <v>9</v>
      </c>
      <c r="H274" s="146">
        <v>6</v>
      </c>
      <c r="I274" s="146">
        <v>13</v>
      </c>
      <c r="J274" s="146">
        <v>0</v>
      </c>
      <c r="K274" s="146">
        <v>2</v>
      </c>
      <c r="L274" s="146">
        <v>10</v>
      </c>
      <c r="M274" s="146">
        <v>0</v>
      </c>
      <c r="N274" s="146">
        <v>0</v>
      </c>
      <c r="O274" s="146">
        <v>0</v>
      </c>
      <c r="P274" s="183"/>
      <c r="Q274" s="183"/>
    </row>
    <row r="275" spans="1:18">
      <c r="A275" s="263"/>
      <c r="B275" s="145" t="s">
        <v>92</v>
      </c>
      <c r="C275" s="146">
        <v>0</v>
      </c>
      <c r="D275" s="146">
        <v>0</v>
      </c>
      <c r="E275" s="146">
        <v>0</v>
      </c>
      <c r="F275" s="146">
        <v>0</v>
      </c>
      <c r="G275" s="146">
        <v>0</v>
      </c>
      <c r="H275" s="146">
        <v>0</v>
      </c>
      <c r="I275" s="146">
        <v>0</v>
      </c>
      <c r="J275" s="146">
        <v>0</v>
      </c>
      <c r="K275" s="146">
        <v>0</v>
      </c>
      <c r="L275" s="146">
        <v>0</v>
      </c>
      <c r="M275" s="146">
        <v>0</v>
      </c>
      <c r="N275" s="146">
        <v>0</v>
      </c>
      <c r="O275" s="146">
        <v>0</v>
      </c>
      <c r="P275" s="183"/>
      <c r="Q275" s="183"/>
    </row>
    <row r="276" spans="1:18">
      <c r="A276" s="263"/>
      <c r="B276" s="145" t="s">
        <v>84</v>
      </c>
      <c r="C276" s="146">
        <v>2324.9250000000002</v>
      </c>
      <c r="D276" s="146">
        <v>2443.4</v>
      </c>
      <c r="E276" s="146">
        <v>7915.4750000000004</v>
      </c>
      <c r="F276" s="146">
        <v>6025.9750000000004</v>
      </c>
      <c r="G276" s="146">
        <v>2653.85</v>
      </c>
      <c r="H276" s="146">
        <v>4092.125</v>
      </c>
      <c r="I276" s="146">
        <v>7436.6</v>
      </c>
      <c r="J276" s="146">
        <v>5419.0249999999996</v>
      </c>
      <c r="K276" s="146">
        <v>3986.1750000000002</v>
      </c>
      <c r="L276" s="146">
        <v>5834.9250000000002</v>
      </c>
      <c r="M276" s="146">
        <v>8104.85</v>
      </c>
      <c r="N276" s="146">
        <v>5803.45</v>
      </c>
      <c r="O276" s="146">
        <v>4828.8</v>
      </c>
      <c r="P276" s="183"/>
      <c r="Q276" s="183"/>
    </row>
    <row r="277" spans="1:18">
      <c r="A277" s="263"/>
      <c r="B277" s="145" t="s">
        <v>85</v>
      </c>
      <c r="C277" s="146">
        <v>0</v>
      </c>
      <c r="D277" s="146">
        <v>0</v>
      </c>
      <c r="E277" s="146">
        <v>0</v>
      </c>
      <c r="F277" s="146">
        <v>0</v>
      </c>
      <c r="G277" s="146">
        <v>36.25</v>
      </c>
      <c r="H277" s="146">
        <v>1</v>
      </c>
      <c r="I277" s="146">
        <v>0</v>
      </c>
      <c r="J277" s="146">
        <v>129</v>
      </c>
      <c r="K277" s="146">
        <v>100.75</v>
      </c>
      <c r="L277" s="146">
        <v>79.5</v>
      </c>
      <c r="M277" s="146">
        <v>169</v>
      </c>
      <c r="N277" s="146">
        <v>76.75</v>
      </c>
      <c r="O277" s="146">
        <v>103.5</v>
      </c>
      <c r="P277" s="183"/>
      <c r="Q277" s="183"/>
    </row>
    <row r="278" spans="1:18">
      <c r="A278" s="263"/>
      <c r="B278" s="145" t="s">
        <v>82</v>
      </c>
      <c r="C278" s="146">
        <v>33204.949999999997</v>
      </c>
      <c r="D278" s="146">
        <v>14792.95</v>
      </c>
      <c r="E278" s="146">
        <v>21120.174999999999</v>
      </c>
      <c r="F278" s="146">
        <v>20281.5</v>
      </c>
      <c r="G278" s="146">
        <v>40992.875</v>
      </c>
      <c r="H278" s="146">
        <v>19780.849999999999</v>
      </c>
      <c r="I278" s="146">
        <v>24586.275000000001</v>
      </c>
      <c r="J278" s="146">
        <v>12669</v>
      </c>
      <c r="K278" s="146">
        <v>25155.45</v>
      </c>
      <c r="L278" s="146">
        <v>19543.974999999999</v>
      </c>
      <c r="M278" s="146">
        <v>11408.825000000001</v>
      </c>
      <c r="N278" s="146">
        <v>14501.075000000001</v>
      </c>
      <c r="O278" s="146">
        <v>15439.674999999999</v>
      </c>
      <c r="P278" s="184"/>
      <c r="Q278" s="184"/>
    </row>
    <row r="279" spans="1:18">
      <c r="A279" s="262"/>
      <c r="B279" s="220" t="s">
        <v>0</v>
      </c>
      <c r="C279" s="222">
        <v>207079.95</v>
      </c>
      <c r="D279" s="222">
        <v>132490.42499999999</v>
      </c>
      <c r="E279" s="222">
        <v>166202.35</v>
      </c>
      <c r="F279" s="222">
        <v>114429.25</v>
      </c>
      <c r="G279" s="222">
        <v>127314.8</v>
      </c>
      <c r="H279" s="222">
        <v>158080.29999999999</v>
      </c>
      <c r="I279" s="222">
        <v>260795.625</v>
      </c>
      <c r="J279" s="222">
        <v>223802.25</v>
      </c>
      <c r="K279" s="222">
        <v>188836.15</v>
      </c>
      <c r="L279" s="222">
        <v>169949.15</v>
      </c>
      <c r="M279" s="222">
        <v>264495.95</v>
      </c>
      <c r="N279" s="222">
        <v>289115.09999999998</v>
      </c>
      <c r="O279" s="222">
        <v>212742.45</v>
      </c>
      <c r="P279" s="184">
        <f>O279/C279-1</f>
        <v>2.7344511141711214E-2</v>
      </c>
      <c r="Q279" s="184"/>
    </row>
    <row r="280" spans="1:18">
      <c r="A280" s="267" t="s">
        <v>81</v>
      </c>
      <c r="B280" s="145" t="s">
        <v>88</v>
      </c>
      <c r="C280" s="146">
        <v>0</v>
      </c>
      <c r="D280" s="146">
        <v>0</v>
      </c>
      <c r="E280" s="146">
        <v>0</v>
      </c>
      <c r="F280" s="146">
        <v>0</v>
      </c>
      <c r="G280" s="146">
        <v>0</v>
      </c>
      <c r="H280" s="146">
        <v>0</v>
      </c>
      <c r="I280" s="146">
        <v>0</v>
      </c>
      <c r="J280" s="146">
        <v>0</v>
      </c>
      <c r="K280" s="146">
        <v>0</v>
      </c>
      <c r="L280" s="146">
        <v>0</v>
      </c>
      <c r="M280" s="146">
        <v>0</v>
      </c>
      <c r="N280" s="146">
        <v>0</v>
      </c>
      <c r="O280" s="146">
        <v>0</v>
      </c>
    </row>
    <row r="281" spans="1:18">
      <c r="A281" s="263"/>
      <c r="B281" s="145" t="s">
        <v>79</v>
      </c>
      <c r="C281" s="146">
        <v>948.3</v>
      </c>
      <c r="D281" s="146">
        <v>134</v>
      </c>
      <c r="E281" s="146">
        <v>42</v>
      </c>
      <c r="F281" s="146">
        <v>26.25</v>
      </c>
      <c r="G281" s="146">
        <v>0</v>
      </c>
      <c r="H281" s="146">
        <v>41.5</v>
      </c>
      <c r="I281" s="146">
        <v>412.6</v>
      </c>
      <c r="J281" s="146">
        <v>381</v>
      </c>
      <c r="K281" s="146">
        <v>406</v>
      </c>
      <c r="L281" s="146">
        <v>833.8</v>
      </c>
      <c r="M281" s="146">
        <v>128.25</v>
      </c>
      <c r="N281" s="146">
        <v>200.75</v>
      </c>
      <c r="O281" s="146">
        <v>810</v>
      </c>
    </row>
    <row r="282" spans="1:18">
      <c r="A282" s="263"/>
      <c r="B282" s="145" t="s">
        <v>23</v>
      </c>
      <c r="C282" s="146">
        <v>36176.574999999997</v>
      </c>
      <c r="D282" s="146">
        <v>13518.35</v>
      </c>
      <c r="E282" s="146">
        <v>16244.174999999999</v>
      </c>
      <c r="F282" s="146">
        <v>6901.2250000000004</v>
      </c>
      <c r="G282" s="146">
        <v>6791.0749999999998</v>
      </c>
      <c r="H282" s="146">
        <v>13289.825000000001</v>
      </c>
      <c r="I282" s="146">
        <v>16226.75</v>
      </c>
      <c r="J282" s="146">
        <v>19143.775000000001</v>
      </c>
      <c r="K282" s="146">
        <v>23707.275000000001</v>
      </c>
      <c r="L282" s="146">
        <v>20838.625</v>
      </c>
      <c r="M282" s="146">
        <v>20258.349999999999</v>
      </c>
      <c r="N282" s="146">
        <v>23259.55</v>
      </c>
      <c r="O282" s="146">
        <v>40918.074999999997</v>
      </c>
      <c r="P282" s="192"/>
      <c r="Q282" s="192"/>
      <c r="R282" s="192"/>
    </row>
    <row r="283" spans="1:18">
      <c r="A283" s="263"/>
      <c r="B283" s="145" t="s">
        <v>86</v>
      </c>
      <c r="C283" s="146">
        <v>388.92500000000001</v>
      </c>
      <c r="D283" s="146">
        <v>410.17500000000001</v>
      </c>
      <c r="E283" s="146">
        <v>626.47500000000002</v>
      </c>
      <c r="F283" s="146">
        <v>35.6</v>
      </c>
      <c r="G283" s="146">
        <v>60.15</v>
      </c>
      <c r="H283" s="146">
        <v>142.65</v>
      </c>
      <c r="I283" s="146">
        <v>350.52499999999998</v>
      </c>
      <c r="J283" s="146">
        <v>574.29999999999995</v>
      </c>
      <c r="K283" s="146">
        <v>336.55</v>
      </c>
      <c r="L283" s="146">
        <v>485.85</v>
      </c>
      <c r="M283" s="146">
        <v>367.02499999999998</v>
      </c>
      <c r="N283" s="146">
        <v>136.5</v>
      </c>
      <c r="O283" s="146">
        <v>765.1</v>
      </c>
      <c r="P283" s="192"/>
      <c r="Q283" s="192"/>
      <c r="R283" s="192"/>
    </row>
    <row r="284" spans="1:18">
      <c r="A284" s="263"/>
      <c r="B284" s="145" t="s">
        <v>80</v>
      </c>
      <c r="C284" s="146">
        <v>84350</v>
      </c>
      <c r="D284" s="146">
        <v>81179.25</v>
      </c>
      <c r="E284" s="146">
        <v>71805.25</v>
      </c>
      <c r="F284" s="146">
        <v>89298.5</v>
      </c>
      <c r="G284" s="146">
        <v>45527.15</v>
      </c>
      <c r="H284" s="146">
        <v>45937.275000000001</v>
      </c>
      <c r="I284" s="146">
        <v>43872.800000000003</v>
      </c>
      <c r="J284" s="146">
        <v>85489</v>
      </c>
      <c r="K284" s="146">
        <v>57096.4</v>
      </c>
      <c r="L284" s="146">
        <v>57520.25</v>
      </c>
      <c r="M284" s="146">
        <v>40508.199999999997</v>
      </c>
      <c r="N284" s="146">
        <v>40637.15</v>
      </c>
      <c r="O284" s="146">
        <v>50389.4</v>
      </c>
      <c r="P284" s="192"/>
      <c r="Q284" s="192"/>
      <c r="R284" s="192"/>
    </row>
    <row r="285" spans="1:18">
      <c r="A285" s="263"/>
      <c r="B285" s="145" t="s">
        <v>89</v>
      </c>
      <c r="C285" s="146">
        <v>0</v>
      </c>
      <c r="D285" s="146">
        <v>0</v>
      </c>
      <c r="E285" s="146">
        <v>0</v>
      </c>
      <c r="F285" s="146">
        <v>0</v>
      </c>
      <c r="G285" s="146">
        <v>0</v>
      </c>
      <c r="H285" s="146">
        <v>0</v>
      </c>
      <c r="I285" s="146">
        <v>0</v>
      </c>
      <c r="J285" s="146">
        <v>0</v>
      </c>
      <c r="K285" s="146">
        <v>0</v>
      </c>
      <c r="L285" s="146">
        <v>0</v>
      </c>
      <c r="M285" s="146">
        <v>0</v>
      </c>
      <c r="N285" s="146">
        <v>0</v>
      </c>
      <c r="O285" s="146">
        <v>0</v>
      </c>
      <c r="P285" s="192"/>
      <c r="Q285" s="192"/>
      <c r="R285" s="192"/>
    </row>
    <row r="286" spans="1:18">
      <c r="A286" s="263"/>
      <c r="B286" s="145" t="s">
        <v>83</v>
      </c>
      <c r="C286" s="146">
        <v>90254.85</v>
      </c>
      <c r="D286" s="146">
        <v>121318.77499999999</v>
      </c>
      <c r="E286" s="146">
        <v>135496.625</v>
      </c>
      <c r="F286" s="146">
        <v>230270.27499999999</v>
      </c>
      <c r="G286" s="146">
        <v>120354.125</v>
      </c>
      <c r="H286" s="146">
        <v>92592.25</v>
      </c>
      <c r="I286" s="146">
        <v>91542.55</v>
      </c>
      <c r="J286" s="146">
        <v>130294.325</v>
      </c>
      <c r="K286" s="146">
        <v>162821.57500000001</v>
      </c>
      <c r="L286" s="146">
        <v>154544.22500000001</v>
      </c>
      <c r="M286" s="146">
        <v>104938.175</v>
      </c>
      <c r="N286" s="146">
        <v>76241.225000000006</v>
      </c>
      <c r="O286" s="146">
        <v>101824.35</v>
      </c>
      <c r="P286" s="192"/>
      <c r="Q286" s="192"/>
      <c r="R286" s="192"/>
    </row>
    <row r="287" spans="1:18">
      <c r="A287" s="263"/>
      <c r="B287" s="145" t="s">
        <v>90</v>
      </c>
      <c r="C287" s="146">
        <v>0</v>
      </c>
      <c r="D287" s="146">
        <v>0</v>
      </c>
      <c r="E287" s="146">
        <v>0</v>
      </c>
      <c r="F287" s="146">
        <v>0</v>
      </c>
      <c r="G287" s="146">
        <v>0</v>
      </c>
      <c r="H287" s="146">
        <v>0</v>
      </c>
      <c r="I287" s="146">
        <v>0</v>
      </c>
      <c r="J287" s="146">
        <v>0</v>
      </c>
      <c r="K287" s="146">
        <v>0</v>
      </c>
      <c r="L287" s="146">
        <v>0</v>
      </c>
      <c r="M287" s="146">
        <v>0</v>
      </c>
      <c r="N287" s="146">
        <v>0</v>
      </c>
      <c r="O287" s="146">
        <v>0</v>
      </c>
      <c r="P287" s="192"/>
      <c r="Q287" s="192"/>
      <c r="R287" s="192"/>
    </row>
    <row r="288" spans="1:18">
      <c r="A288" s="263"/>
      <c r="B288" s="145" t="s">
        <v>274</v>
      </c>
      <c r="C288" s="146">
        <v>0</v>
      </c>
      <c r="D288" s="146">
        <v>0</v>
      </c>
      <c r="E288" s="146">
        <v>0</v>
      </c>
      <c r="F288" s="146">
        <v>0</v>
      </c>
      <c r="G288" s="146">
        <v>0</v>
      </c>
      <c r="H288" s="146">
        <v>0</v>
      </c>
      <c r="I288" s="146">
        <v>0</v>
      </c>
      <c r="J288" s="146">
        <v>0</v>
      </c>
      <c r="K288" s="146">
        <v>0</v>
      </c>
      <c r="L288" s="146">
        <v>0</v>
      </c>
      <c r="M288" s="146">
        <v>0</v>
      </c>
      <c r="N288" s="146">
        <v>0</v>
      </c>
      <c r="O288" s="146">
        <v>0</v>
      </c>
      <c r="P288" s="192"/>
      <c r="Q288" s="192"/>
      <c r="R288" s="192"/>
    </row>
    <row r="289" spans="1:18">
      <c r="A289" s="263"/>
      <c r="B289" s="145" t="s">
        <v>19</v>
      </c>
      <c r="C289" s="146">
        <v>35013.025000000001</v>
      </c>
      <c r="D289" s="146">
        <v>54346.8</v>
      </c>
      <c r="E289" s="146">
        <v>56838.45</v>
      </c>
      <c r="F289" s="146">
        <v>58545.275000000001</v>
      </c>
      <c r="G289" s="146">
        <v>22738.424999999999</v>
      </c>
      <c r="H289" s="146">
        <v>25203.9</v>
      </c>
      <c r="I289" s="146">
        <v>22661.65</v>
      </c>
      <c r="J289" s="146">
        <v>24531.674999999999</v>
      </c>
      <c r="K289" s="146">
        <v>29122.674999999999</v>
      </c>
      <c r="L289" s="146">
        <v>48937.175000000003</v>
      </c>
      <c r="M289" s="146">
        <v>28066.5</v>
      </c>
      <c r="N289" s="146">
        <v>55051.875</v>
      </c>
      <c r="O289" s="146">
        <v>49899.25</v>
      </c>
      <c r="P289" s="192"/>
      <c r="Q289" s="192"/>
      <c r="R289" s="192"/>
    </row>
    <row r="290" spans="1:18">
      <c r="A290" s="263"/>
      <c r="B290" s="145" t="s">
        <v>224</v>
      </c>
      <c r="C290" s="146">
        <v>0</v>
      </c>
      <c r="D290" s="146">
        <v>0</v>
      </c>
      <c r="E290" s="146">
        <v>0</v>
      </c>
      <c r="F290" s="146">
        <v>0</v>
      </c>
      <c r="G290" s="146">
        <v>0</v>
      </c>
      <c r="H290" s="146">
        <v>0</v>
      </c>
      <c r="I290" s="146">
        <v>0</v>
      </c>
      <c r="J290" s="146">
        <v>0</v>
      </c>
      <c r="K290" s="146">
        <v>0</v>
      </c>
      <c r="L290" s="146">
        <v>0</v>
      </c>
      <c r="M290" s="146">
        <v>0</v>
      </c>
      <c r="N290" s="146">
        <v>0</v>
      </c>
      <c r="O290" s="146">
        <v>0</v>
      </c>
      <c r="P290" s="192"/>
      <c r="Q290" s="192"/>
      <c r="R290" s="192"/>
    </row>
    <row r="291" spans="1:18">
      <c r="A291" s="263"/>
      <c r="B291" s="145" t="s">
        <v>91</v>
      </c>
      <c r="C291" s="146">
        <v>0</v>
      </c>
      <c r="D291" s="146">
        <v>0</v>
      </c>
      <c r="E291" s="146">
        <v>0</v>
      </c>
      <c r="F291" s="146">
        <v>0</v>
      </c>
      <c r="G291" s="146">
        <v>0</v>
      </c>
      <c r="H291" s="146">
        <v>0</v>
      </c>
      <c r="I291" s="146">
        <v>0</v>
      </c>
      <c r="J291" s="146">
        <v>0</v>
      </c>
      <c r="K291" s="146">
        <v>0</v>
      </c>
      <c r="L291" s="146">
        <v>0</v>
      </c>
      <c r="M291" s="146">
        <v>0</v>
      </c>
      <c r="N291" s="146">
        <v>0</v>
      </c>
      <c r="O291" s="146">
        <v>0</v>
      </c>
      <c r="P291" s="192"/>
      <c r="Q291" s="192"/>
      <c r="R291" s="192"/>
    </row>
    <row r="292" spans="1:18">
      <c r="A292" s="263"/>
      <c r="B292" s="145" t="s">
        <v>78</v>
      </c>
      <c r="C292" s="146">
        <v>218</v>
      </c>
      <c r="D292" s="146">
        <v>1231.425</v>
      </c>
      <c r="E292" s="146">
        <v>851.5</v>
      </c>
      <c r="F292" s="146">
        <v>264.10000000000002</v>
      </c>
      <c r="G292" s="146">
        <v>495.25</v>
      </c>
      <c r="H292" s="146">
        <v>140</v>
      </c>
      <c r="I292" s="146">
        <v>787.42499999999995</v>
      </c>
      <c r="J292" s="146">
        <v>137</v>
      </c>
      <c r="K292" s="146">
        <v>120</v>
      </c>
      <c r="L292" s="146">
        <v>0</v>
      </c>
      <c r="M292" s="146">
        <v>175.97499999999999</v>
      </c>
      <c r="N292" s="146">
        <v>243.75</v>
      </c>
      <c r="O292" s="146">
        <v>855.6</v>
      </c>
      <c r="P292" s="192"/>
      <c r="Q292" s="192"/>
      <c r="R292" s="192"/>
    </row>
    <row r="293" spans="1:18">
      <c r="A293" s="263"/>
      <c r="B293" s="145" t="s">
        <v>87</v>
      </c>
      <c r="C293" s="146">
        <v>283.75</v>
      </c>
      <c r="D293" s="146">
        <v>148</v>
      </c>
      <c r="E293" s="146">
        <v>8</v>
      </c>
      <c r="F293" s="146">
        <v>70.75</v>
      </c>
      <c r="G293" s="146">
        <v>177.25</v>
      </c>
      <c r="H293" s="146">
        <v>47.75</v>
      </c>
      <c r="I293" s="146">
        <v>81.75</v>
      </c>
      <c r="J293" s="146">
        <v>152.5</v>
      </c>
      <c r="K293" s="146">
        <v>335.75</v>
      </c>
      <c r="L293" s="146">
        <v>196.5</v>
      </c>
      <c r="M293" s="146">
        <v>252</v>
      </c>
      <c r="N293" s="146">
        <v>18</v>
      </c>
      <c r="O293" s="146">
        <v>51</v>
      </c>
      <c r="P293" s="192"/>
      <c r="Q293" s="192"/>
      <c r="R293" s="192"/>
    </row>
    <row r="294" spans="1:18">
      <c r="A294" s="263"/>
      <c r="B294" s="145" t="s">
        <v>92</v>
      </c>
      <c r="C294" s="146">
        <v>0</v>
      </c>
      <c r="D294" s="146">
        <v>0</v>
      </c>
      <c r="E294" s="146">
        <v>0</v>
      </c>
      <c r="F294" s="146">
        <v>0</v>
      </c>
      <c r="G294" s="146">
        <v>0</v>
      </c>
      <c r="H294" s="146">
        <v>0</v>
      </c>
      <c r="I294" s="146">
        <v>0</v>
      </c>
      <c r="J294" s="146">
        <v>0</v>
      </c>
      <c r="K294" s="146">
        <v>0</v>
      </c>
      <c r="L294" s="146">
        <v>0</v>
      </c>
      <c r="M294" s="146">
        <v>0</v>
      </c>
      <c r="N294" s="146">
        <v>0</v>
      </c>
      <c r="O294" s="146">
        <v>0</v>
      </c>
      <c r="P294" s="192"/>
      <c r="Q294" s="192"/>
      <c r="R294" s="192"/>
    </row>
    <row r="295" spans="1:18">
      <c r="A295" s="263"/>
      <c r="B295" s="145" t="s">
        <v>84</v>
      </c>
      <c r="C295" s="146">
        <v>10047.9</v>
      </c>
      <c r="D295" s="146">
        <v>36033.974999999999</v>
      </c>
      <c r="E295" s="146">
        <v>47776.1</v>
      </c>
      <c r="F295" s="146">
        <v>108573.3</v>
      </c>
      <c r="G295" s="146">
        <v>105239.4</v>
      </c>
      <c r="H295" s="146">
        <v>73395.25</v>
      </c>
      <c r="I295" s="146">
        <v>57932.775000000001</v>
      </c>
      <c r="J295" s="146">
        <v>56016.35</v>
      </c>
      <c r="K295" s="146">
        <v>54552.375</v>
      </c>
      <c r="L295" s="146">
        <v>20732.650000000001</v>
      </c>
      <c r="M295" s="146">
        <v>21085.15</v>
      </c>
      <c r="N295" s="146">
        <v>18646.599999999999</v>
      </c>
      <c r="O295" s="146">
        <v>23535.525000000001</v>
      </c>
      <c r="P295" s="192"/>
      <c r="Q295" s="192"/>
      <c r="R295" s="192"/>
    </row>
    <row r="296" spans="1:18">
      <c r="A296" s="263"/>
      <c r="B296" s="145" t="s">
        <v>85</v>
      </c>
      <c r="C296" s="146">
        <v>0</v>
      </c>
      <c r="D296" s="146">
        <v>0</v>
      </c>
      <c r="E296" s="146">
        <v>2</v>
      </c>
      <c r="F296" s="146">
        <v>0</v>
      </c>
      <c r="G296" s="146">
        <v>164.75</v>
      </c>
      <c r="H296" s="146">
        <v>10.55</v>
      </c>
      <c r="I296" s="146">
        <v>0</v>
      </c>
      <c r="J296" s="146">
        <v>1854.825</v>
      </c>
      <c r="K296" s="146">
        <v>7491.5</v>
      </c>
      <c r="L296" s="146">
        <v>13007.775</v>
      </c>
      <c r="M296" s="146">
        <v>19087.900000000001</v>
      </c>
      <c r="N296" s="146">
        <v>14697</v>
      </c>
      <c r="O296" s="146">
        <v>17053.275000000001</v>
      </c>
      <c r="P296" s="192"/>
      <c r="Q296" s="192"/>
      <c r="R296" s="192"/>
    </row>
    <row r="297" spans="1:18">
      <c r="A297" s="263"/>
      <c r="B297" s="145" t="s">
        <v>82</v>
      </c>
      <c r="C297" s="146">
        <v>25499.974999999999</v>
      </c>
      <c r="D297" s="146">
        <v>26530.275000000001</v>
      </c>
      <c r="E297" s="146">
        <v>32165.775000000001</v>
      </c>
      <c r="F297" s="146">
        <v>34483.775000000001</v>
      </c>
      <c r="G297" s="146">
        <v>24725.375</v>
      </c>
      <c r="H297" s="146">
        <v>21775.599999999999</v>
      </c>
      <c r="I297" s="146">
        <v>16501.599999999999</v>
      </c>
      <c r="J297" s="146">
        <v>17942.75</v>
      </c>
      <c r="K297" s="146">
        <v>24462.5</v>
      </c>
      <c r="L297" s="146">
        <v>27379.85</v>
      </c>
      <c r="M297" s="146">
        <v>27583.724999999999</v>
      </c>
      <c r="N297" s="146">
        <v>25957.25</v>
      </c>
      <c r="O297" s="146">
        <v>46658.175000000003</v>
      </c>
      <c r="P297" s="192"/>
      <c r="Q297" s="192"/>
      <c r="R297" s="192"/>
    </row>
    <row r="298" spans="1:18">
      <c r="A298" s="262"/>
      <c r="B298" s="220" t="s">
        <v>0</v>
      </c>
      <c r="C298" s="222">
        <v>283181.3</v>
      </c>
      <c r="D298" s="222">
        <v>334851.02500000002</v>
      </c>
      <c r="E298" s="222">
        <v>361856.35</v>
      </c>
      <c r="F298" s="222">
        <v>528469.05000000005</v>
      </c>
      <c r="G298" s="222">
        <v>326272.95</v>
      </c>
      <c r="H298" s="222">
        <v>272576.55</v>
      </c>
      <c r="I298" s="222">
        <v>250370.42499999999</v>
      </c>
      <c r="J298" s="222">
        <v>336517.5</v>
      </c>
      <c r="K298" s="222">
        <v>360452.6</v>
      </c>
      <c r="L298" s="222">
        <v>344476.7</v>
      </c>
      <c r="M298" s="222">
        <v>262451.25</v>
      </c>
      <c r="N298" s="222">
        <v>255089.65</v>
      </c>
      <c r="O298" s="222">
        <v>332759.75</v>
      </c>
      <c r="P298" s="184">
        <f>O298/C298-1</f>
        <v>0.17507670880810289</v>
      </c>
      <c r="Q298" s="184">
        <f>(O279+O298)/(C298+C279)-1</f>
        <v>0.11267655765166018</v>
      </c>
      <c r="R298" s="192"/>
    </row>
    <row r="299" spans="1:18">
      <c r="A299" s="192"/>
      <c r="B299" s="192"/>
      <c r="C299" s="192"/>
      <c r="D299" s="192"/>
      <c r="E299" s="192"/>
      <c r="F299" s="192"/>
      <c r="G299" s="192"/>
      <c r="H299" s="192"/>
      <c r="I299" s="192"/>
      <c r="J299" s="192"/>
      <c r="K299" s="192"/>
      <c r="L299" s="192"/>
      <c r="M299" s="192"/>
      <c r="N299" s="192"/>
      <c r="O299" s="192"/>
      <c r="P299" s="192"/>
      <c r="Q299" s="192"/>
      <c r="R299" s="192"/>
    </row>
    <row r="300" spans="1:18">
      <c r="A300" s="192"/>
      <c r="B300" s="192"/>
      <c r="C300" s="192"/>
      <c r="D300" s="192"/>
      <c r="E300" s="192"/>
      <c r="F300" s="192"/>
      <c r="G300" s="192"/>
      <c r="H300" s="192"/>
      <c r="I300" s="192"/>
      <c r="J300" s="192"/>
      <c r="K300" s="192"/>
      <c r="L300" s="192"/>
      <c r="M300" s="192"/>
      <c r="N300" s="192"/>
      <c r="O300" s="192"/>
      <c r="P300" s="192"/>
      <c r="Q300" s="192"/>
      <c r="R300" s="192"/>
    </row>
    <row r="301" spans="1:18">
      <c r="O301" s="200"/>
    </row>
    <row r="302" spans="1:18">
      <c r="P302" s="159"/>
    </row>
    <row r="306" spans="1:18">
      <c r="Q306" s="183"/>
      <c r="R306" s="183"/>
    </row>
    <row r="307" spans="1:18">
      <c r="Q307" s="183"/>
      <c r="R307" s="183"/>
    </row>
    <row r="308" spans="1:18">
      <c r="Q308" s="183"/>
      <c r="R308" s="183"/>
    </row>
    <row r="309" spans="1:18">
      <c r="P309" s="146"/>
      <c r="Q309" s="183"/>
      <c r="R309" s="183"/>
    </row>
    <row r="310" spans="1:18">
      <c r="P310" s="146"/>
      <c r="Q310" s="183"/>
      <c r="R310" s="183"/>
    </row>
    <row r="311" spans="1:18">
      <c r="P311" s="146"/>
      <c r="Q311" s="183"/>
      <c r="R311" s="183"/>
    </row>
    <row r="312" spans="1:18">
      <c r="P312" s="146"/>
      <c r="Q312" s="183"/>
      <c r="R312" s="183"/>
    </row>
    <row r="313" spans="1:18">
      <c r="A313" s="88" t="s">
        <v>229</v>
      </c>
      <c r="B313" s="195" t="str">
        <f>MID(B314,6,1)</f>
        <v>E</v>
      </c>
      <c r="C313" s="195" t="str">
        <f t="shared" ref="C313:N313" si="9">MID(C314,6,1)</f>
        <v>F</v>
      </c>
      <c r="D313" s="195" t="str">
        <f t="shared" si="9"/>
        <v>M</v>
      </c>
      <c r="E313" s="195" t="str">
        <f t="shared" si="9"/>
        <v>A</v>
      </c>
      <c r="F313" s="195" t="str">
        <f t="shared" si="9"/>
        <v>M</v>
      </c>
      <c r="G313" s="195" t="str">
        <f t="shared" si="9"/>
        <v>J</v>
      </c>
      <c r="H313" s="195" t="str">
        <f t="shared" si="9"/>
        <v>J</v>
      </c>
      <c r="I313" s="195" t="str">
        <f t="shared" si="9"/>
        <v>A</v>
      </c>
      <c r="J313" s="195" t="str">
        <f t="shared" si="9"/>
        <v>S</v>
      </c>
      <c r="K313" s="195" t="str">
        <f t="shared" si="9"/>
        <v>O</v>
      </c>
      <c r="L313" s="195" t="str">
        <f t="shared" si="9"/>
        <v>N</v>
      </c>
      <c r="M313" s="195" t="str">
        <f t="shared" si="9"/>
        <v>D</v>
      </c>
      <c r="N313" s="195" t="str">
        <f t="shared" si="9"/>
        <v>E</v>
      </c>
      <c r="O313" s="146"/>
      <c r="P313" s="146"/>
      <c r="Q313" s="183"/>
      <c r="R313" s="183"/>
    </row>
    <row r="314" spans="1:18">
      <c r="A314" s="143" t="s">
        <v>93</v>
      </c>
      <c r="B314" s="172" t="s">
        <v>263</v>
      </c>
      <c r="C314" s="172" t="s">
        <v>265</v>
      </c>
      <c r="D314" s="172" t="s">
        <v>268</v>
      </c>
      <c r="E314" s="172" t="s">
        <v>272</v>
      </c>
      <c r="F314" s="172" t="s">
        <v>276</v>
      </c>
      <c r="G314" s="172" t="s">
        <v>278</v>
      </c>
      <c r="H314" s="172" t="s">
        <v>280</v>
      </c>
      <c r="I314" s="172" t="s">
        <v>282</v>
      </c>
      <c r="J314" s="172" t="s">
        <v>284</v>
      </c>
      <c r="K314" s="172" t="s">
        <v>291</v>
      </c>
      <c r="L314" s="172" t="s">
        <v>294</v>
      </c>
      <c r="M314" s="172" t="s">
        <v>296</v>
      </c>
      <c r="N314" s="172" t="s">
        <v>331</v>
      </c>
      <c r="O314" s="146"/>
      <c r="P314" s="146"/>
      <c r="Q314" s="183"/>
      <c r="R314" s="183"/>
    </row>
    <row r="315" spans="1:18">
      <c r="A315" s="143" t="s">
        <v>27</v>
      </c>
      <c r="B315" s="170"/>
      <c r="C315" s="170"/>
      <c r="D315" s="170"/>
      <c r="E315" s="170"/>
      <c r="F315" s="170"/>
      <c r="G315" s="170"/>
      <c r="H315" s="170"/>
      <c r="I315" s="170"/>
      <c r="J315" s="170"/>
      <c r="K315" s="170"/>
      <c r="L315" s="170"/>
      <c r="M315" s="170"/>
      <c r="N315" s="170"/>
      <c r="P315" s="146"/>
      <c r="Q315" s="183"/>
      <c r="R315" s="183"/>
    </row>
    <row r="316" spans="1:18">
      <c r="A316" s="145" t="s">
        <v>77</v>
      </c>
      <c r="B316" s="146">
        <v>106308.5</v>
      </c>
      <c r="C316" s="146">
        <v>70662.5</v>
      </c>
      <c r="D316" s="146">
        <v>111953</v>
      </c>
      <c r="E316" s="146">
        <v>78770.25</v>
      </c>
      <c r="F316" s="146">
        <v>89311.5</v>
      </c>
      <c r="G316" s="146">
        <v>127607.75</v>
      </c>
      <c r="H316" s="146">
        <v>199179.5</v>
      </c>
      <c r="I316" s="146">
        <v>129470.5</v>
      </c>
      <c r="J316" s="146">
        <v>94718.25</v>
      </c>
      <c r="K316" s="146">
        <v>109914.5</v>
      </c>
      <c r="L316" s="146">
        <v>123489</v>
      </c>
      <c r="M316" s="146">
        <v>186787.25</v>
      </c>
      <c r="N316" s="146">
        <v>90348.25</v>
      </c>
      <c r="Q316" s="183"/>
      <c r="R316" s="183"/>
    </row>
    <row r="317" spans="1:18">
      <c r="A317" s="145" t="s">
        <v>81</v>
      </c>
      <c r="B317" s="146">
        <v>274962.25</v>
      </c>
      <c r="C317" s="146">
        <v>288599.5</v>
      </c>
      <c r="D317" s="146">
        <v>260521.75</v>
      </c>
      <c r="E317" s="146">
        <v>367665.25</v>
      </c>
      <c r="F317" s="146">
        <v>215330.75</v>
      </c>
      <c r="G317" s="146">
        <v>177774</v>
      </c>
      <c r="H317" s="146">
        <v>118924</v>
      </c>
      <c r="I317" s="146">
        <v>160328.25</v>
      </c>
      <c r="J317" s="146">
        <v>243145</v>
      </c>
      <c r="K317" s="146">
        <v>284049</v>
      </c>
      <c r="L317" s="146">
        <v>159008</v>
      </c>
      <c r="M317" s="146">
        <v>122864.5</v>
      </c>
      <c r="N317" s="146">
        <v>265986.25</v>
      </c>
    </row>
    <row r="318" spans="1:18">
      <c r="A318" s="175" t="s">
        <v>213</v>
      </c>
      <c r="B318" s="178">
        <f>SUM(B316:B317)</f>
        <v>381270.75</v>
      </c>
      <c r="C318" s="178">
        <f t="shared" ref="C318:N318" si="10">SUM(C316:C317)</f>
        <v>359262</v>
      </c>
      <c r="D318" s="178">
        <f t="shared" si="10"/>
        <v>372474.75</v>
      </c>
      <c r="E318" s="178">
        <f t="shared" si="10"/>
        <v>446435.5</v>
      </c>
      <c r="F318" s="178">
        <f t="shared" si="10"/>
        <v>304642.25</v>
      </c>
      <c r="G318" s="178">
        <f t="shared" si="10"/>
        <v>305381.75</v>
      </c>
      <c r="H318" s="178">
        <f t="shared" si="10"/>
        <v>318103.5</v>
      </c>
      <c r="I318" s="178">
        <f t="shared" si="10"/>
        <v>289798.75</v>
      </c>
      <c r="J318" s="178">
        <f t="shared" si="10"/>
        <v>337863.25</v>
      </c>
      <c r="K318" s="178">
        <f t="shared" si="10"/>
        <v>393963.5</v>
      </c>
      <c r="L318" s="178">
        <f t="shared" si="10"/>
        <v>282497</v>
      </c>
      <c r="M318" s="178">
        <f t="shared" si="10"/>
        <v>309651.75</v>
      </c>
      <c r="N318" s="178">
        <f t="shared" si="10"/>
        <v>356334.5</v>
      </c>
      <c r="P318" s="183"/>
      <c r="Q318" s="183"/>
    </row>
    <row r="319" spans="1:18">
      <c r="A319" s="88" t="s">
        <v>217</v>
      </c>
      <c r="P319" s="183"/>
      <c r="Q319" s="183"/>
    </row>
    <row r="320" spans="1:18">
      <c r="A320" s="143"/>
      <c r="B320" s="143"/>
      <c r="C320" s="143" t="s">
        <v>27</v>
      </c>
      <c r="D320" s="264" t="s">
        <v>253</v>
      </c>
      <c r="E320" s="265"/>
      <c r="F320" s="265"/>
      <c r="G320" s="265"/>
      <c r="H320" s="265"/>
      <c r="I320" s="265"/>
      <c r="J320" s="265"/>
      <c r="K320" s="265"/>
      <c r="L320" s="265"/>
      <c r="M320" s="265"/>
      <c r="N320" s="265"/>
      <c r="O320" s="265"/>
      <c r="P320" s="265"/>
      <c r="Q320" s="183"/>
    </row>
    <row r="321" spans="1:21">
      <c r="A321" s="143"/>
      <c r="B321" s="143"/>
      <c r="C321" s="143" t="s">
        <v>93</v>
      </c>
      <c r="D321" s="172" t="s">
        <v>263</v>
      </c>
      <c r="E321" s="172" t="s">
        <v>265</v>
      </c>
      <c r="F321" s="172" t="s">
        <v>268</v>
      </c>
      <c r="G321" s="172" t="s">
        <v>272</v>
      </c>
      <c r="H321" s="172" t="s">
        <v>276</v>
      </c>
      <c r="I321" s="172" t="s">
        <v>278</v>
      </c>
      <c r="J321" s="172" t="s">
        <v>280</v>
      </c>
      <c r="K321" s="172" t="s">
        <v>282</v>
      </c>
      <c r="L321" s="172" t="s">
        <v>284</v>
      </c>
      <c r="M321" s="172" t="s">
        <v>291</v>
      </c>
      <c r="N321" s="172" t="s">
        <v>294</v>
      </c>
      <c r="O321" s="172" t="s">
        <v>296</v>
      </c>
      <c r="P321" s="172" t="s">
        <v>331</v>
      </c>
      <c r="Q321" s="183"/>
    </row>
    <row r="322" spans="1:21">
      <c r="A322" s="143" t="s">
        <v>126</v>
      </c>
      <c r="B322" s="143" t="s">
        <v>196</v>
      </c>
      <c r="C322" s="143" t="s">
        <v>197</v>
      </c>
      <c r="D322" s="170"/>
      <c r="E322" s="170"/>
      <c r="F322" s="170"/>
      <c r="G322" s="170"/>
      <c r="H322" s="170"/>
      <c r="I322" s="170"/>
      <c r="J322" s="170"/>
      <c r="K322" s="170"/>
      <c r="L322" s="170"/>
      <c r="M322" s="170"/>
      <c r="N322" s="170"/>
      <c r="O322" s="170"/>
      <c r="P322" s="170"/>
      <c r="Q322" s="183"/>
    </row>
    <row r="323" spans="1:21">
      <c r="A323" s="261" t="s">
        <v>191</v>
      </c>
      <c r="B323" s="261" t="s">
        <v>192</v>
      </c>
      <c r="C323" s="145" t="s">
        <v>193</v>
      </c>
      <c r="D323" s="146">
        <v>19280.5</v>
      </c>
      <c r="E323" s="146">
        <v>11627.5</v>
      </c>
      <c r="F323" s="146">
        <v>13597</v>
      </c>
      <c r="G323" s="146">
        <v>15456</v>
      </c>
      <c r="H323" s="146">
        <v>6692</v>
      </c>
      <c r="I323" s="146">
        <v>5900</v>
      </c>
      <c r="J323" s="146">
        <v>5752.1</v>
      </c>
      <c r="K323" s="146">
        <v>2420</v>
      </c>
      <c r="L323" s="146">
        <v>3714</v>
      </c>
      <c r="M323" s="146">
        <v>6616</v>
      </c>
      <c r="N323" s="146">
        <v>11168.4</v>
      </c>
      <c r="O323" s="146">
        <v>9655</v>
      </c>
      <c r="P323" s="146">
        <v>18787</v>
      </c>
      <c r="Q323" s="183"/>
      <c r="U323" s="200"/>
    </row>
    <row r="324" spans="1:21">
      <c r="A324" s="263"/>
      <c r="B324" s="262"/>
      <c r="C324" s="145" t="s">
        <v>194</v>
      </c>
      <c r="D324" s="146">
        <v>39323.5</v>
      </c>
      <c r="E324" s="146">
        <v>62430.3</v>
      </c>
      <c r="F324" s="146">
        <v>121758.8</v>
      </c>
      <c r="G324" s="146">
        <v>177774.8</v>
      </c>
      <c r="H324" s="146">
        <v>141126.39999999999</v>
      </c>
      <c r="I324" s="146">
        <v>125705</v>
      </c>
      <c r="J324" s="146">
        <v>136962</v>
      </c>
      <c r="K324" s="146">
        <v>164237</v>
      </c>
      <c r="L324" s="146">
        <v>104951</v>
      </c>
      <c r="M324" s="146">
        <v>134927</v>
      </c>
      <c r="N324" s="146">
        <v>91782</v>
      </c>
      <c r="O324" s="146">
        <v>114637.2</v>
      </c>
      <c r="P324" s="146">
        <v>67725.7</v>
      </c>
      <c r="Q324" s="183"/>
    </row>
    <row r="325" spans="1:21">
      <c r="A325" s="263"/>
      <c r="B325" s="267" t="s">
        <v>195</v>
      </c>
      <c r="C325" s="145" t="s">
        <v>193</v>
      </c>
      <c r="D325" s="146">
        <v>0</v>
      </c>
      <c r="E325" s="146">
        <v>0</v>
      </c>
      <c r="F325" s="146">
        <v>0</v>
      </c>
      <c r="G325" s="146">
        <v>0</v>
      </c>
      <c r="H325" s="146">
        <v>0</v>
      </c>
      <c r="I325" s="146">
        <v>0</v>
      </c>
      <c r="J325" s="146">
        <v>0</v>
      </c>
      <c r="K325" s="146">
        <v>0</v>
      </c>
      <c r="L325" s="146">
        <v>0</v>
      </c>
      <c r="M325" s="146">
        <v>0</v>
      </c>
      <c r="N325" s="146">
        <v>0</v>
      </c>
      <c r="O325" s="146">
        <v>0</v>
      </c>
      <c r="P325" s="146">
        <v>0</v>
      </c>
      <c r="Q325" s="183"/>
    </row>
    <row r="326" spans="1:21">
      <c r="A326" s="262"/>
      <c r="B326" s="262"/>
      <c r="C326" s="145" t="s">
        <v>194</v>
      </c>
      <c r="D326" s="146">
        <v>0</v>
      </c>
      <c r="E326" s="146">
        <v>0</v>
      </c>
      <c r="F326" s="146">
        <v>0</v>
      </c>
      <c r="G326" s="146">
        <v>0</v>
      </c>
      <c r="H326" s="146">
        <v>0</v>
      </c>
      <c r="I326" s="146">
        <v>0</v>
      </c>
      <c r="J326" s="146">
        <v>0</v>
      </c>
      <c r="K326" s="146">
        <v>0</v>
      </c>
      <c r="L326" s="146">
        <v>0</v>
      </c>
      <c r="M326" s="146">
        <v>0</v>
      </c>
      <c r="N326" s="146">
        <v>0</v>
      </c>
      <c r="O326" s="146">
        <v>0</v>
      </c>
      <c r="P326" s="146">
        <v>0</v>
      </c>
      <c r="Q326" s="183"/>
    </row>
    <row r="327" spans="1:21">
      <c r="A327" s="267" t="s">
        <v>221</v>
      </c>
      <c r="B327" s="267" t="s">
        <v>192</v>
      </c>
      <c r="C327" s="145" t="s">
        <v>193</v>
      </c>
      <c r="D327" s="146">
        <v>50841.7</v>
      </c>
      <c r="E327" s="146">
        <v>25431.7</v>
      </c>
      <c r="F327" s="146">
        <v>13680.4</v>
      </c>
      <c r="G327" s="146">
        <v>11694</v>
      </c>
      <c r="H327" s="146">
        <v>26707</v>
      </c>
      <c r="I327" s="146">
        <v>24345.4</v>
      </c>
      <c r="J327" s="146">
        <v>40017.800000000003</v>
      </c>
      <c r="K327" s="146">
        <v>47585.5</v>
      </c>
      <c r="L327" s="146">
        <v>30360.7</v>
      </c>
      <c r="M327" s="146">
        <v>55216.2</v>
      </c>
      <c r="N327" s="146">
        <v>55068</v>
      </c>
      <c r="O327" s="146">
        <v>32982.699999999997</v>
      </c>
      <c r="P327" s="146">
        <v>25033</v>
      </c>
      <c r="Q327" s="183"/>
    </row>
    <row r="328" spans="1:21">
      <c r="A328" s="263"/>
      <c r="B328" s="262"/>
      <c r="C328" s="145" t="s">
        <v>194</v>
      </c>
      <c r="D328" s="146">
        <v>100314.7</v>
      </c>
      <c r="E328" s="146">
        <v>64202.5</v>
      </c>
      <c r="F328" s="146">
        <v>56049.9</v>
      </c>
      <c r="G328" s="146">
        <v>56392</v>
      </c>
      <c r="H328" s="146">
        <v>48172.5</v>
      </c>
      <c r="I328" s="146">
        <v>42929.599999999999</v>
      </c>
      <c r="J328" s="146">
        <v>32491</v>
      </c>
      <c r="K328" s="146">
        <v>37214</v>
      </c>
      <c r="L328" s="146">
        <v>55114.6</v>
      </c>
      <c r="M328" s="146">
        <v>85933.9</v>
      </c>
      <c r="N328" s="146">
        <v>85446.1</v>
      </c>
      <c r="O328" s="146">
        <v>61412.2</v>
      </c>
      <c r="P328" s="146">
        <v>117100.4</v>
      </c>
      <c r="Q328" s="183"/>
    </row>
    <row r="329" spans="1:21">
      <c r="A329" s="263"/>
      <c r="B329" s="267" t="s">
        <v>195</v>
      </c>
      <c r="C329" s="145" t="s">
        <v>193</v>
      </c>
      <c r="D329" s="146">
        <v>0</v>
      </c>
      <c r="E329" s="146">
        <v>0</v>
      </c>
      <c r="F329" s="146">
        <v>0</v>
      </c>
      <c r="G329" s="146">
        <v>0</v>
      </c>
      <c r="H329" s="146">
        <v>0</v>
      </c>
      <c r="I329" s="146">
        <v>0</v>
      </c>
      <c r="J329" s="146">
        <v>0</v>
      </c>
      <c r="K329" s="146">
        <v>0</v>
      </c>
      <c r="L329" s="146">
        <v>0</v>
      </c>
      <c r="M329" s="146">
        <v>0</v>
      </c>
      <c r="N329" s="146">
        <v>0</v>
      </c>
      <c r="O329" s="146">
        <v>0</v>
      </c>
      <c r="P329" s="146">
        <v>0</v>
      </c>
      <c r="Q329" s="183"/>
    </row>
    <row r="330" spans="1:21">
      <c r="A330" s="262"/>
      <c r="B330" s="262"/>
      <c r="C330" s="145" t="s">
        <v>194</v>
      </c>
      <c r="D330" s="146">
        <v>0</v>
      </c>
      <c r="E330" s="146">
        <v>0</v>
      </c>
      <c r="F330" s="146">
        <v>0</v>
      </c>
      <c r="G330" s="146">
        <v>0</v>
      </c>
      <c r="H330" s="146">
        <v>0</v>
      </c>
      <c r="I330" s="146">
        <v>0</v>
      </c>
      <c r="J330" s="146">
        <v>0</v>
      </c>
      <c r="K330" s="146">
        <v>0</v>
      </c>
      <c r="L330" s="146">
        <v>0</v>
      </c>
      <c r="M330" s="146">
        <v>0</v>
      </c>
      <c r="N330" s="146">
        <v>0</v>
      </c>
      <c r="O330" s="146">
        <v>0</v>
      </c>
      <c r="P330" s="146">
        <v>0</v>
      </c>
      <c r="Q330" s="183"/>
    </row>
    <row r="331" spans="1:21">
      <c r="A331" s="190"/>
      <c r="B331" s="145"/>
      <c r="C331" s="146"/>
      <c r="D331" s="146"/>
      <c r="E331" s="146"/>
      <c r="F331" s="146"/>
      <c r="G331" s="146"/>
      <c r="H331" s="146"/>
      <c r="I331" s="146"/>
      <c r="J331" s="146"/>
      <c r="K331" s="146"/>
      <c r="L331" s="146"/>
      <c r="M331" s="146"/>
      <c r="N331" s="146"/>
      <c r="O331" s="146"/>
      <c r="P331" s="183"/>
      <c r="Q331" s="183"/>
    </row>
    <row r="332" spans="1:21">
      <c r="A332" s="190"/>
      <c r="B332" s="145"/>
      <c r="C332" s="146"/>
      <c r="D332" s="146"/>
      <c r="E332" s="146"/>
      <c r="F332" s="146"/>
      <c r="G332" s="146"/>
      <c r="H332" s="146"/>
      <c r="I332" s="146"/>
      <c r="J332" s="146"/>
      <c r="K332" s="146"/>
      <c r="L332" s="146"/>
      <c r="M332" s="146"/>
      <c r="N332" s="146"/>
      <c r="O332" s="146"/>
      <c r="P332" s="183"/>
      <c r="Q332" s="183"/>
    </row>
    <row r="333" spans="1:21">
      <c r="A333" s="190"/>
      <c r="B333" s="145"/>
      <c r="C333" s="146"/>
      <c r="D333" s="146"/>
      <c r="E333" s="146"/>
      <c r="F333" s="146"/>
      <c r="G333" s="146"/>
      <c r="H333" s="146"/>
      <c r="I333" s="146"/>
      <c r="J333" s="146"/>
      <c r="K333" s="146"/>
      <c r="L333" s="146"/>
      <c r="M333" s="146"/>
      <c r="N333" s="146"/>
      <c r="O333" s="146"/>
      <c r="P333" s="183"/>
      <c r="Q333" s="183"/>
    </row>
    <row r="334" spans="1:21">
      <c r="A334" s="190"/>
      <c r="B334" s="145"/>
      <c r="C334" s="146"/>
      <c r="D334" s="146"/>
      <c r="E334" s="146"/>
      <c r="F334" s="146"/>
      <c r="G334" s="146"/>
      <c r="H334" s="146"/>
      <c r="I334" s="146"/>
      <c r="J334" s="146"/>
      <c r="K334" s="146"/>
      <c r="L334" s="146"/>
      <c r="M334" s="146"/>
      <c r="N334" s="146"/>
      <c r="O334" s="146"/>
      <c r="P334" s="183"/>
      <c r="Q334" s="183"/>
    </row>
    <row r="335" spans="1:21">
      <c r="A335" s="190"/>
      <c r="B335" s="145"/>
      <c r="C335" s="146"/>
      <c r="D335" s="146"/>
      <c r="E335" s="146"/>
      <c r="F335" s="146"/>
      <c r="G335" s="146"/>
      <c r="H335" s="146"/>
      <c r="I335" s="146"/>
      <c r="J335" s="146"/>
      <c r="K335" s="146"/>
      <c r="L335" s="146"/>
      <c r="M335" s="146"/>
      <c r="N335" s="146"/>
      <c r="O335" s="146"/>
      <c r="P335" s="183"/>
      <c r="Q335" s="183"/>
    </row>
    <row r="336" spans="1:21">
      <c r="A336" s="88" t="s">
        <v>230</v>
      </c>
      <c r="C336" s="169" t="str">
        <f>MID(C338,6,1)</f>
        <v>E</v>
      </c>
      <c r="D336" s="169" t="str">
        <f t="shared" ref="D336:O336" si="11">MID(D338,6,1)</f>
        <v>F</v>
      </c>
      <c r="E336" s="169" t="str">
        <f t="shared" si="11"/>
        <v>M</v>
      </c>
      <c r="F336" s="169" t="str">
        <f t="shared" si="11"/>
        <v>A</v>
      </c>
      <c r="G336" s="169" t="str">
        <f t="shared" si="11"/>
        <v>M</v>
      </c>
      <c r="H336" s="169" t="str">
        <f t="shared" si="11"/>
        <v>J</v>
      </c>
      <c r="I336" s="169" t="str">
        <f t="shared" si="11"/>
        <v>J</v>
      </c>
      <c r="J336" s="169" t="str">
        <f t="shared" si="11"/>
        <v>A</v>
      </c>
      <c r="K336" s="169" t="str">
        <f t="shared" si="11"/>
        <v>S</v>
      </c>
      <c r="L336" s="169" t="str">
        <f t="shared" si="11"/>
        <v>O</v>
      </c>
      <c r="M336" s="169" t="str">
        <f t="shared" si="11"/>
        <v>N</v>
      </c>
      <c r="N336" s="169" t="str">
        <f t="shared" si="11"/>
        <v>D</v>
      </c>
      <c r="O336" s="169" t="str">
        <f t="shared" si="11"/>
        <v>E</v>
      </c>
      <c r="P336" s="183"/>
      <c r="Q336" s="183"/>
    </row>
    <row r="337" spans="1:22">
      <c r="A337" s="143"/>
      <c r="B337" s="143" t="s">
        <v>27</v>
      </c>
      <c r="C337" s="270" t="s">
        <v>206</v>
      </c>
      <c r="D337" s="271"/>
      <c r="E337" s="271"/>
      <c r="F337" s="271"/>
      <c r="G337" s="271"/>
      <c r="H337" s="271"/>
      <c r="I337" s="271"/>
      <c r="J337" s="271"/>
      <c r="K337" s="271"/>
      <c r="L337" s="271"/>
      <c r="M337" s="271"/>
      <c r="N337" s="271"/>
      <c r="O337" s="271"/>
      <c r="P337" s="183"/>
      <c r="Q337" s="183"/>
    </row>
    <row r="338" spans="1:22">
      <c r="A338" s="143"/>
      <c r="B338" s="143" t="s">
        <v>93</v>
      </c>
      <c r="C338" s="172" t="s">
        <v>263</v>
      </c>
      <c r="D338" s="172" t="s">
        <v>265</v>
      </c>
      <c r="E338" s="172" t="s">
        <v>268</v>
      </c>
      <c r="F338" s="172" t="s">
        <v>272</v>
      </c>
      <c r="G338" s="172" t="s">
        <v>276</v>
      </c>
      <c r="H338" s="172" t="s">
        <v>278</v>
      </c>
      <c r="I338" s="172" t="s">
        <v>280</v>
      </c>
      <c r="J338" s="172" t="s">
        <v>282</v>
      </c>
      <c r="K338" s="172" t="s">
        <v>284</v>
      </c>
      <c r="L338" s="172" t="s">
        <v>291</v>
      </c>
      <c r="M338" s="172" t="s">
        <v>294</v>
      </c>
      <c r="N338" s="172" t="s">
        <v>296</v>
      </c>
      <c r="O338" s="172" t="s">
        <v>331</v>
      </c>
      <c r="P338" s="183"/>
      <c r="Q338" s="183"/>
    </row>
    <row r="339" spans="1:22">
      <c r="A339" s="143" t="s">
        <v>126</v>
      </c>
      <c r="B339" s="143" t="s">
        <v>127</v>
      </c>
      <c r="C339" s="170"/>
      <c r="D339" s="170"/>
      <c r="E339" s="170"/>
      <c r="F339" s="170"/>
      <c r="G339" s="170"/>
      <c r="H339" s="170"/>
      <c r="I339" s="170"/>
      <c r="J339" s="170"/>
      <c r="K339" s="170"/>
      <c r="L339" s="170"/>
      <c r="M339" s="170"/>
      <c r="N339" s="170"/>
      <c r="O339" s="170"/>
      <c r="P339" s="183"/>
      <c r="Q339" s="183"/>
    </row>
    <row r="340" spans="1:22">
      <c r="A340" s="269" t="s">
        <v>77</v>
      </c>
      <c r="B340" s="145" t="s">
        <v>273</v>
      </c>
      <c r="C340" s="146">
        <v>0</v>
      </c>
      <c r="D340" s="146">
        <v>0</v>
      </c>
      <c r="E340" s="146">
        <v>0</v>
      </c>
      <c r="F340" s="146">
        <v>0</v>
      </c>
      <c r="G340" s="146">
        <v>0</v>
      </c>
      <c r="H340" s="146">
        <v>0</v>
      </c>
      <c r="I340" s="146">
        <v>0</v>
      </c>
      <c r="J340" s="146">
        <v>0</v>
      </c>
      <c r="K340" s="146">
        <v>0</v>
      </c>
      <c r="L340" s="146">
        <v>0</v>
      </c>
      <c r="M340" s="146">
        <v>0</v>
      </c>
      <c r="N340" s="146">
        <v>0</v>
      </c>
      <c r="O340" s="146">
        <v>0</v>
      </c>
      <c r="P340" s="183"/>
      <c r="Q340" s="186"/>
    </row>
    <row r="341" spans="1:22">
      <c r="A341" s="263"/>
      <c r="B341" s="145" t="s">
        <v>79</v>
      </c>
      <c r="C341" s="146">
        <v>12198.75</v>
      </c>
      <c r="D341" s="146">
        <v>340</v>
      </c>
      <c r="E341" s="146">
        <v>0</v>
      </c>
      <c r="F341" s="146">
        <v>0</v>
      </c>
      <c r="G341" s="146">
        <v>0</v>
      </c>
      <c r="H341" s="146">
        <v>4632.6000000000004</v>
      </c>
      <c r="I341" s="146">
        <v>10899</v>
      </c>
      <c r="J341" s="146">
        <v>3159</v>
      </c>
      <c r="K341" s="146">
        <v>6921</v>
      </c>
      <c r="L341" s="146">
        <v>28142.167000000001</v>
      </c>
      <c r="M341" s="146">
        <v>22436</v>
      </c>
      <c r="N341" s="146">
        <v>15140</v>
      </c>
      <c r="O341" s="146">
        <v>14285</v>
      </c>
      <c r="P341" s="183"/>
      <c r="Q341" s="183"/>
    </row>
    <row r="342" spans="1:22">
      <c r="A342" s="263"/>
      <c r="B342" s="145" t="s">
        <v>23</v>
      </c>
      <c r="C342" s="146">
        <v>484724.1</v>
      </c>
      <c r="D342" s="146">
        <v>419985.842</v>
      </c>
      <c r="E342" s="146">
        <v>451230.06699999998</v>
      </c>
      <c r="F342" s="146">
        <v>529199.00800000003</v>
      </c>
      <c r="G342" s="146">
        <v>292755.49599999998</v>
      </c>
      <c r="H342" s="146">
        <v>305769.40000000002</v>
      </c>
      <c r="I342" s="146">
        <v>417951.071</v>
      </c>
      <c r="J342" s="146">
        <v>452723.04200000002</v>
      </c>
      <c r="K342" s="146">
        <v>430782.21600000001</v>
      </c>
      <c r="L342" s="146">
        <v>609242.973</v>
      </c>
      <c r="M342" s="146">
        <v>435419.359</v>
      </c>
      <c r="N342" s="146">
        <v>394503.52399999998</v>
      </c>
      <c r="O342" s="146">
        <v>451588.02500000002</v>
      </c>
      <c r="P342" s="183"/>
      <c r="Q342" s="183"/>
    </row>
    <row r="343" spans="1:22">
      <c r="A343" s="263"/>
      <c r="B343" s="145" t="s">
        <v>86</v>
      </c>
      <c r="C343" s="146">
        <v>0</v>
      </c>
      <c r="D343" s="146">
        <v>0</v>
      </c>
      <c r="E343" s="146">
        <v>0</v>
      </c>
      <c r="F343" s="146">
        <v>0</v>
      </c>
      <c r="G343" s="146">
        <v>0</v>
      </c>
      <c r="H343" s="146">
        <v>0</v>
      </c>
      <c r="I343" s="146">
        <v>8.61</v>
      </c>
      <c r="J343" s="146">
        <v>0</v>
      </c>
      <c r="K343" s="146">
        <v>0</v>
      </c>
      <c r="L343" s="146">
        <v>1.546</v>
      </c>
      <c r="M343" s="146">
        <v>0</v>
      </c>
      <c r="N343" s="146">
        <v>0</v>
      </c>
      <c r="O343" s="146">
        <v>0</v>
      </c>
      <c r="P343" s="183"/>
      <c r="Q343" s="183"/>
    </row>
    <row r="344" spans="1:22">
      <c r="A344" s="263"/>
      <c r="B344" s="145" t="s">
        <v>80</v>
      </c>
      <c r="C344" s="146">
        <v>596.03300000000002</v>
      </c>
      <c r="D344" s="146">
        <v>186.65</v>
      </c>
      <c r="E344" s="146">
        <v>6444.8249999999998</v>
      </c>
      <c r="F344" s="146">
        <v>1372.1669999999999</v>
      </c>
      <c r="G344" s="146">
        <v>1162.867</v>
      </c>
      <c r="H344" s="146">
        <v>1212.25</v>
      </c>
      <c r="I344" s="146">
        <v>5738.7330000000002</v>
      </c>
      <c r="J344" s="146">
        <v>9876.75</v>
      </c>
      <c r="K344" s="146">
        <v>408.33300000000003</v>
      </c>
      <c r="L344" s="146">
        <v>583</v>
      </c>
      <c r="M344" s="146">
        <v>5128.25</v>
      </c>
      <c r="N344" s="146">
        <v>267.5</v>
      </c>
      <c r="O344" s="146">
        <v>1875</v>
      </c>
      <c r="P344" s="183"/>
      <c r="Q344" s="183"/>
    </row>
    <row r="345" spans="1:22">
      <c r="A345" s="263"/>
      <c r="B345" s="145" t="s">
        <v>89</v>
      </c>
      <c r="C345" s="146">
        <v>0</v>
      </c>
      <c r="D345" s="146">
        <v>51</v>
      </c>
      <c r="E345" s="146">
        <v>423.8</v>
      </c>
      <c r="F345" s="146">
        <v>383</v>
      </c>
      <c r="G345" s="146">
        <v>1163.7</v>
      </c>
      <c r="H345" s="146">
        <v>2708.7</v>
      </c>
      <c r="I345" s="146">
        <v>0</v>
      </c>
      <c r="J345" s="146">
        <v>2741.6</v>
      </c>
      <c r="K345" s="146">
        <v>372</v>
      </c>
      <c r="L345" s="146">
        <v>1567.5</v>
      </c>
      <c r="M345" s="146">
        <v>190</v>
      </c>
      <c r="N345" s="146">
        <v>102</v>
      </c>
      <c r="O345" s="146">
        <v>40</v>
      </c>
      <c r="P345" s="183"/>
      <c r="Q345" s="183"/>
    </row>
    <row r="346" spans="1:22">
      <c r="A346" s="263"/>
      <c r="B346" s="145" t="s">
        <v>83</v>
      </c>
      <c r="C346" s="146">
        <v>0</v>
      </c>
      <c r="D346" s="146">
        <v>0</v>
      </c>
      <c r="E346" s="146">
        <v>0</v>
      </c>
      <c r="F346" s="146">
        <v>0</v>
      </c>
      <c r="G346" s="146">
        <v>0</v>
      </c>
      <c r="H346" s="146">
        <v>0</v>
      </c>
      <c r="I346" s="146">
        <v>0</v>
      </c>
      <c r="J346" s="146">
        <v>0</v>
      </c>
      <c r="K346" s="146">
        <v>116.667</v>
      </c>
      <c r="L346" s="146">
        <v>0.17299999999999999</v>
      </c>
      <c r="M346" s="146">
        <v>0</v>
      </c>
      <c r="N346" s="146">
        <v>0</v>
      </c>
      <c r="O346" s="146">
        <v>0</v>
      </c>
      <c r="P346" s="183"/>
      <c r="Q346" s="183"/>
    </row>
    <row r="347" spans="1:22">
      <c r="A347" s="263"/>
      <c r="B347" s="145" t="s">
        <v>274</v>
      </c>
      <c r="C347" s="146">
        <v>0</v>
      </c>
      <c r="D347" s="146">
        <v>0</v>
      </c>
      <c r="E347" s="146">
        <v>0</v>
      </c>
      <c r="F347" s="146">
        <v>0</v>
      </c>
      <c r="G347" s="146">
        <v>0</v>
      </c>
      <c r="H347" s="146">
        <v>0</v>
      </c>
      <c r="I347" s="146">
        <v>0</v>
      </c>
      <c r="J347" s="146">
        <v>0</v>
      </c>
      <c r="K347" s="146">
        <v>0</v>
      </c>
      <c r="L347" s="146">
        <v>0</v>
      </c>
      <c r="M347" s="146">
        <v>0</v>
      </c>
      <c r="N347" s="146">
        <v>0</v>
      </c>
      <c r="O347" s="146">
        <v>0</v>
      </c>
      <c r="P347" s="183"/>
      <c r="Q347" s="183"/>
    </row>
    <row r="348" spans="1:22">
      <c r="A348" s="263"/>
      <c r="B348" s="145" t="s">
        <v>19</v>
      </c>
      <c r="C348" s="146">
        <v>200</v>
      </c>
      <c r="D348" s="146">
        <v>0</v>
      </c>
      <c r="E348" s="146">
        <v>0</v>
      </c>
      <c r="F348" s="146">
        <v>3583.433</v>
      </c>
      <c r="G348" s="146">
        <v>489</v>
      </c>
      <c r="H348" s="146">
        <v>0</v>
      </c>
      <c r="I348" s="146">
        <v>755.27</v>
      </c>
      <c r="J348" s="146">
        <v>0</v>
      </c>
      <c r="K348" s="146">
        <v>0</v>
      </c>
      <c r="L348" s="146">
        <v>51.587000000000003</v>
      </c>
      <c r="M348" s="146">
        <v>0</v>
      </c>
      <c r="N348" s="146">
        <v>138</v>
      </c>
      <c r="O348" s="146">
        <v>0</v>
      </c>
      <c r="P348" s="183"/>
      <c r="Q348" s="184"/>
    </row>
    <row r="349" spans="1:22">
      <c r="A349" s="263"/>
      <c r="B349" s="145" t="s">
        <v>224</v>
      </c>
      <c r="C349" s="146">
        <v>0</v>
      </c>
      <c r="D349" s="146">
        <v>0</v>
      </c>
      <c r="E349" s="146">
        <v>0</v>
      </c>
      <c r="F349" s="146">
        <v>0</v>
      </c>
      <c r="G349" s="146">
        <v>0</v>
      </c>
      <c r="H349" s="146">
        <v>0</v>
      </c>
      <c r="I349" s="146">
        <v>0</v>
      </c>
      <c r="J349" s="146">
        <v>0</v>
      </c>
      <c r="K349" s="146">
        <v>0</v>
      </c>
      <c r="L349" s="146">
        <v>0</v>
      </c>
      <c r="M349" s="146">
        <v>0</v>
      </c>
      <c r="N349" s="146">
        <v>0</v>
      </c>
      <c r="O349" s="146">
        <v>0</v>
      </c>
      <c r="P349" s="183"/>
      <c r="Q349" s="184"/>
    </row>
    <row r="350" spans="1:22">
      <c r="A350" s="263"/>
      <c r="B350" s="145" t="s">
        <v>91</v>
      </c>
      <c r="C350" s="146">
        <v>0</v>
      </c>
      <c r="D350" s="146">
        <v>0</v>
      </c>
      <c r="E350" s="146">
        <v>0</v>
      </c>
      <c r="F350" s="146">
        <v>0</v>
      </c>
      <c r="G350" s="146">
        <v>0</v>
      </c>
      <c r="H350" s="146">
        <v>0</v>
      </c>
      <c r="I350" s="146">
        <v>0</v>
      </c>
      <c r="J350" s="146">
        <v>0</v>
      </c>
      <c r="K350" s="146">
        <v>18.332999999999998</v>
      </c>
      <c r="L350" s="146">
        <v>0</v>
      </c>
      <c r="M350" s="146">
        <v>0</v>
      </c>
      <c r="N350" s="146">
        <v>6190</v>
      </c>
      <c r="O350" s="146">
        <v>0</v>
      </c>
      <c r="P350" s="183"/>
      <c r="Q350" s="191"/>
      <c r="R350" s="191"/>
      <c r="S350" s="191"/>
      <c r="T350" s="191"/>
      <c r="U350" s="191"/>
      <c r="V350" s="191"/>
    </row>
    <row r="351" spans="1:22">
      <c r="A351" s="263"/>
      <c r="B351" s="145" t="s">
        <v>78</v>
      </c>
      <c r="C351" s="146">
        <v>0</v>
      </c>
      <c r="D351" s="146">
        <v>6670</v>
      </c>
      <c r="E351" s="146">
        <v>0</v>
      </c>
      <c r="F351" s="146">
        <v>0</v>
      </c>
      <c r="G351" s="146">
        <v>0</v>
      </c>
      <c r="H351" s="146">
        <v>0</v>
      </c>
      <c r="I351" s="146">
        <v>20.260000000000002</v>
      </c>
      <c r="J351" s="146">
        <v>0</v>
      </c>
      <c r="K351" s="146">
        <v>0</v>
      </c>
      <c r="L351" s="146">
        <v>4.1210000000000004</v>
      </c>
      <c r="M351" s="146">
        <v>0</v>
      </c>
      <c r="N351" s="146">
        <v>0</v>
      </c>
      <c r="O351" s="146">
        <v>0</v>
      </c>
      <c r="P351" s="183"/>
      <c r="Q351" s="191"/>
      <c r="R351" s="191"/>
      <c r="S351" s="191"/>
      <c r="T351" s="191"/>
      <c r="U351" s="191"/>
      <c r="V351" s="191"/>
    </row>
    <row r="352" spans="1:22">
      <c r="A352" s="263"/>
      <c r="B352" s="145" t="s">
        <v>87</v>
      </c>
      <c r="C352" s="146">
        <v>0</v>
      </c>
      <c r="D352" s="146">
        <v>0</v>
      </c>
      <c r="E352" s="146">
        <v>18</v>
      </c>
      <c r="F352" s="146">
        <v>24.632999999999999</v>
      </c>
      <c r="G352" s="146">
        <v>0</v>
      </c>
      <c r="H352" s="146">
        <v>0</v>
      </c>
      <c r="I352" s="146">
        <v>29.28</v>
      </c>
      <c r="J352" s="146">
        <v>0</v>
      </c>
      <c r="K352" s="146">
        <v>0</v>
      </c>
      <c r="L352" s="146">
        <v>17.093</v>
      </c>
      <c r="M352" s="146">
        <v>0</v>
      </c>
      <c r="N352" s="146">
        <v>0</v>
      </c>
      <c r="O352" s="146">
        <v>0</v>
      </c>
      <c r="P352" s="183"/>
      <c r="Q352" s="191"/>
      <c r="R352" s="191"/>
      <c r="S352" s="191"/>
      <c r="T352" s="191"/>
      <c r="U352" s="191"/>
      <c r="V352" s="191"/>
    </row>
    <row r="353" spans="1:22">
      <c r="A353" s="263"/>
      <c r="B353" s="145" t="s">
        <v>92</v>
      </c>
      <c r="C353" s="146">
        <v>0</v>
      </c>
      <c r="D353" s="146">
        <v>0</v>
      </c>
      <c r="E353" s="146">
        <v>0</v>
      </c>
      <c r="F353" s="146">
        <v>0</v>
      </c>
      <c r="G353" s="146">
        <v>0</v>
      </c>
      <c r="H353" s="146">
        <v>0</v>
      </c>
      <c r="I353" s="146">
        <v>2.4500000000000002</v>
      </c>
      <c r="J353" s="146">
        <v>0</v>
      </c>
      <c r="K353" s="146">
        <v>0</v>
      </c>
      <c r="L353" s="146">
        <v>0</v>
      </c>
      <c r="M353" s="146">
        <v>0</v>
      </c>
      <c r="N353" s="146">
        <v>0</v>
      </c>
      <c r="O353" s="146">
        <v>0</v>
      </c>
      <c r="P353" s="183"/>
      <c r="Q353" s="191"/>
      <c r="R353" s="191"/>
      <c r="S353" s="191"/>
      <c r="T353" s="191"/>
      <c r="U353" s="191"/>
      <c r="V353" s="191"/>
    </row>
    <row r="354" spans="1:22">
      <c r="A354" s="263"/>
      <c r="B354" s="145" t="s">
        <v>84</v>
      </c>
      <c r="C354" s="146">
        <v>0</v>
      </c>
      <c r="D354" s="146">
        <v>0</v>
      </c>
      <c r="E354" s="146">
        <v>0</v>
      </c>
      <c r="F354" s="146">
        <v>0</v>
      </c>
      <c r="G354" s="146">
        <v>0</v>
      </c>
      <c r="H354" s="146">
        <v>0</v>
      </c>
      <c r="I354" s="146">
        <v>0</v>
      </c>
      <c r="J354" s="146">
        <v>0</v>
      </c>
      <c r="K354" s="146">
        <v>0</v>
      </c>
      <c r="L354" s="146">
        <v>0.44</v>
      </c>
      <c r="M354" s="146">
        <v>0</v>
      </c>
      <c r="N354" s="146">
        <v>0</v>
      </c>
      <c r="O354" s="146">
        <v>0.27500000000000002</v>
      </c>
      <c r="P354" s="183"/>
      <c r="Q354" s="191"/>
      <c r="R354" s="191"/>
      <c r="S354" s="191"/>
      <c r="T354" s="191"/>
      <c r="U354" s="191"/>
      <c r="V354" s="191"/>
    </row>
    <row r="355" spans="1:22">
      <c r="A355" s="263"/>
      <c r="B355" s="145" t="s">
        <v>85</v>
      </c>
      <c r="C355" s="146">
        <v>0</v>
      </c>
      <c r="D355" s="146">
        <v>0</v>
      </c>
      <c r="E355" s="146">
        <v>0</v>
      </c>
      <c r="F355" s="146">
        <v>0</v>
      </c>
      <c r="G355" s="146">
        <v>0</v>
      </c>
      <c r="H355" s="146">
        <v>0</v>
      </c>
      <c r="I355" s="146">
        <v>0</v>
      </c>
      <c r="J355" s="146">
        <v>0</v>
      </c>
      <c r="K355" s="146">
        <v>0</v>
      </c>
      <c r="L355" s="146">
        <v>0</v>
      </c>
      <c r="M355" s="146">
        <v>0</v>
      </c>
      <c r="N355" s="146">
        <v>0</v>
      </c>
      <c r="O355" s="146">
        <v>0</v>
      </c>
      <c r="P355" s="184">
        <f>O357/C357-1</f>
        <v>-6.2506129791427445E-2</v>
      </c>
      <c r="Q355" s="191"/>
      <c r="R355" s="191"/>
      <c r="S355" s="191"/>
      <c r="T355" s="191"/>
      <c r="U355" s="191"/>
      <c r="V355" s="191"/>
    </row>
    <row r="356" spans="1:22">
      <c r="A356" s="263"/>
      <c r="B356" s="145" t="s">
        <v>82</v>
      </c>
      <c r="C356" s="146">
        <v>1329.5</v>
      </c>
      <c r="D356" s="146">
        <v>100</v>
      </c>
      <c r="E356" s="146">
        <v>66.8</v>
      </c>
      <c r="F356" s="146">
        <v>1504.75</v>
      </c>
      <c r="G356" s="146">
        <v>2343.8330000000001</v>
      </c>
      <c r="H356" s="146">
        <v>854.25</v>
      </c>
      <c r="I356" s="146">
        <v>6969.8</v>
      </c>
      <c r="J356" s="146">
        <v>24880.207999999999</v>
      </c>
      <c r="K356" s="146">
        <v>110</v>
      </c>
      <c r="L356" s="146">
        <v>458.57299999999998</v>
      </c>
      <c r="M356" s="146">
        <v>850</v>
      </c>
      <c r="N356" s="146">
        <v>540.75</v>
      </c>
      <c r="O356" s="146">
        <v>66.5</v>
      </c>
      <c r="P356" s="183"/>
      <c r="Q356" s="191"/>
      <c r="R356" s="191"/>
      <c r="S356" s="191"/>
      <c r="T356" s="191"/>
      <c r="U356" s="191"/>
      <c r="V356" s="191"/>
    </row>
    <row r="357" spans="1:22">
      <c r="A357" s="262"/>
      <c r="B357" s="220" t="s">
        <v>0</v>
      </c>
      <c r="C357" s="222">
        <v>499048.38299999997</v>
      </c>
      <c r="D357" s="222">
        <v>427333.49200000003</v>
      </c>
      <c r="E357" s="222">
        <v>458183.49200000003</v>
      </c>
      <c r="F357" s="222">
        <v>536066.99100000004</v>
      </c>
      <c r="G357" s="222">
        <v>297914.89600000001</v>
      </c>
      <c r="H357" s="222">
        <v>315177.2</v>
      </c>
      <c r="I357" s="222">
        <v>442374.47399999999</v>
      </c>
      <c r="J357" s="222">
        <v>493380.6</v>
      </c>
      <c r="K357" s="222">
        <v>438728.549</v>
      </c>
      <c r="L357" s="222">
        <v>640069.17299999995</v>
      </c>
      <c r="M357" s="222">
        <v>464023.609</v>
      </c>
      <c r="N357" s="222">
        <v>416881.77399999998</v>
      </c>
      <c r="O357" s="222">
        <v>467854.8</v>
      </c>
      <c r="P357" s="183"/>
      <c r="Q357" s="191"/>
      <c r="R357" s="191"/>
      <c r="S357" s="191"/>
      <c r="T357" s="191"/>
      <c r="U357" s="191"/>
      <c r="V357" s="191"/>
    </row>
    <row r="358" spans="1:22">
      <c r="A358" s="268" t="s">
        <v>81</v>
      </c>
      <c r="B358" s="145" t="s">
        <v>273</v>
      </c>
      <c r="C358" s="146">
        <v>0</v>
      </c>
      <c r="D358" s="146">
        <v>0</v>
      </c>
      <c r="E358" s="146">
        <v>0</v>
      </c>
      <c r="F358" s="146">
        <v>0</v>
      </c>
      <c r="G358" s="146">
        <v>0</v>
      </c>
      <c r="H358" s="146">
        <v>0</v>
      </c>
      <c r="I358" s="146">
        <v>0</v>
      </c>
      <c r="J358" s="146">
        <v>0</v>
      </c>
      <c r="K358" s="146">
        <v>0</v>
      </c>
      <c r="L358" s="146">
        <v>0</v>
      </c>
      <c r="M358" s="146">
        <v>0</v>
      </c>
      <c r="N358" s="146">
        <v>0</v>
      </c>
      <c r="O358" s="146">
        <v>0</v>
      </c>
      <c r="P358" s="183"/>
      <c r="Q358" s="191"/>
      <c r="R358" s="191"/>
      <c r="S358" s="191"/>
      <c r="T358" s="191"/>
      <c r="U358" s="191"/>
      <c r="V358" s="191"/>
    </row>
    <row r="359" spans="1:22">
      <c r="A359" s="263"/>
      <c r="B359" s="145" t="s">
        <v>79</v>
      </c>
      <c r="C359" s="146">
        <v>0</v>
      </c>
      <c r="D359" s="146">
        <v>0</v>
      </c>
      <c r="E359" s="146">
        <v>0</v>
      </c>
      <c r="F359" s="146">
        <v>0</v>
      </c>
      <c r="G359" s="146">
        <v>0</v>
      </c>
      <c r="H359" s="146">
        <v>0</v>
      </c>
      <c r="I359" s="146">
        <v>0</v>
      </c>
      <c r="J359" s="146">
        <v>0</v>
      </c>
      <c r="K359" s="146">
        <v>0</v>
      </c>
      <c r="L359" s="146">
        <v>0</v>
      </c>
      <c r="M359" s="146">
        <v>0</v>
      </c>
      <c r="N359" s="146">
        <v>0</v>
      </c>
      <c r="O359" s="146">
        <v>0</v>
      </c>
      <c r="P359" s="183"/>
      <c r="Q359" s="191"/>
      <c r="R359" s="191"/>
      <c r="S359" s="191"/>
      <c r="T359" s="191"/>
      <c r="U359" s="191"/>
      <c r="V359" s="191"/>
    </row>
    <row r="360" spans="1:22">
      <c r="A360" s="263"/>
      <c r="B360" s="145" t="s">
        <v>23</v>
      </c>
      <c r="C360" s="146">
        <v>0</v>
      </c>
      <c r="D360" s="146">
        <v>155</v>
      </c>
      <c r="E360" s="146">
        <v>0</v>
      </c>
      <c r="F360" s="146">
        <v>10</v>
      </c>
      <c r="G360" s="146">
        <v>0</v>
      </c>
      <c r="H360" s="146">
        <v>1365.3</v>
      </c>
      <c r="I360" s="146">
        <v>3894.75</v>
      </c>
      <c r="J360" s="146">
        <v>3825.5839999999998</v>
      </c>
      <c r="K360" s="146">
        <v>1455.4469999999999</v>
      </c>
      <c r="L360" s="146">
        <v>2701.1750000000002</v>
      </c>
      <c r="M360" s="146">
        <v>217.3</v>
      </c>
      <c r="N360" s="146">
        <v>8987.6</v>
      </c>
      <c r="O360" s="146">
        <v>690.8</v>
      </c>
      <c r="P360" s="183"/>
      <c r="Q360" s="191"/>
      <c r="R360" s="191"/>
      <c r="S360" s="191"/>
      <c r="T360" s="191"/>
      <c r="U360" s="191"/>
      <c r="V360" s="191"/>
    </row>
    <row r="361" spans="1:22">
      <c r="A361" s="263"/>
      <c r="B361" s="145" t="s">
        <v>86</v>
      </c>
      <c r="C361" s="146">
        <v>519.226</v>
      </c>
      <c r="D361" s="146">
        <v>1004.436</v>
      </c>
      <c r="E361" s="146">
        <v>1079.9839999999999</v>
      </c>
      <c r="F361" s="146">
        <v>1089.4069999999999</v>
      </c>
      <c r="G361" s="146">
        <v>1088.4359999999999</v>
      </c>
      <c r="H361" s="146">
        <v>1965.856</v>
      </c>
      <c r="I361" s="146">
        <v>2542.4380000000001</v>
      </c>
      <c r="J361" s="146">
        <v>1938.558</v>
      </c>
      <c r="K361" s="146">
        <v>847.53599999999994</v>
      </c>
      <c r="L361" s="146">
        <v>1318.671</v>
      </c>
      <c r="M361" s="146">
        <v>32.625</v>
      </c>
      <c r="N361" s="146">
        <v>840.12099999999998</v>
      </c>
      <c r="O361" s="146">
        <v>17.097000000000001</v>
      </c>
      <c r="P361" s="183"/>
      <c r="Q361" s="191"/>
      <c r="R361" s="191"/>
      <c r="S361" s="191"/>
      <c r="T361" s="191"/>
      <c r="U361" s="191"/>
      <c r="V361" s="191"/>
    </row>
    <row r="362" spans="1:22">
      <c r="A362" s="263"/>
      <c r="B362" s="145" t="s">
        <v>80</v>
      </c>
      <c r="C362" s="146">
        <v>28959.425999999999</v>
      </c>
      <c r="D362" s="146">
        <v>16487.8</v>
      </c>
      <c r="E362" s="146">
        <v>4441.0829999999996</v>
      </c>
      <c r="F362" s="146">
        <v>6010.1840000000002</v>
      </c>
      <c r="G362" s="146">
        <v>7774.2160000000003</v>
      </c>
      <c r="H362" s="146">
        <v>1115.75</v>
      </c>
      <c r="I362" s="146">
        <v>2546.0500000000002</v>
      </c>
      <c r="J362" s="146">
        <v>3493.634</v>
      </c>
      <c r="K362" s="146">
        <v>2673.65</v>
      </c>
      <c r="L362" s="146">
        <v>11020.95</v>
      </c>
      <c r="M362" s="146">
        <v>20239.797999999999</v>
      </c>
      <c r="N362" s="146">
        <v>13384.6</v>
      </c>
      <c r="O362" s="146">
        <v>14398.216</v>
      </c>
      <c r="P362" s="183"/>
      <c r="Q362" s="191"/>
      <c r="R362" s="191"/>
      <c r="S362" s="191"/>
      <c r="T362" s="191"/>
      <c r="U362" s="191"/>
      <c r="V362" s="191"/>
    </row>
    <row r="363" spans="1:22">
      <c r="A363" s="263"/>
      <c r="B363" s="145" t="s">
        <v>89</v>
      </c>
      <c r="C363" s="146">
        <v>0</v>
      </c>
      <c r="D363" s="146">
        <v>0</v>
      </c>
      <c r="E363" s="146">
        <v>0</v>
      </c>
      <c r="F363" s="146">
        <v>0</v>
      </c>
      <c r="G363" s="146">
        <v>0</v>
      </c>
      <c r="H363" s="146">
        <v>0</v>
      </c>
      <c r="I363" s="146">
        <v>0</v>
      </c>
      <c r="J363" s="146">
        <v>0</v>
      </c>
      <c r="K363" s="146">
        <v>0</v>
      </c>
      <c r="L363" s="146">
        <v>0</v>
      </c>
      <c r="M363" s="146">
        <v>0</v>
      </c>
      <c r="N363" s="146">
        <v>0</v>
      </c>
      <c r="O363" s="146">
        <v>0</v>
      </c>
      <c r="P363" s="183"/>
      <c r="Q363" s="191"/>
      <c r="R363" s="191"/>
      <c r="S363" s="191"/>
      <c r="T363" s="191"/>
      <c r="U363" s="191"/>
      <c r="V363" s="191"/>
    </row>
    <row r="364" spans="1:22">
      <c r="A364" s="263"/>
      <c r="B364" s="145" t="s">
        <v>83</v>
      </c>
      <c r="C364" s="146">
        <v>15518.136</v>
      </c>
      <c r="D364" s="146">
        <v>24732.25</v>
      </c>
      <c r="E364" s="146">
        <v>23063.254000000001</v>
      </c>
      <c r="F364" s="146">
        <v>48982.904000000002</v>
      </c>
      <c r="G364" s="146">
        <v>23862.542000000001</v>
      </c>
      <c r="H364" s="146">
        <v>17546.748</v>
      </c>
      <c r="I364" s="146">
        <v>38321.057000000001</v>
      </c>
      <c r="J364" s="146">
        <v>57683.41</v>
      </c>
      <c r="K364" s="146">
        <v>51036.108999999997</v>
      </c>
      <c r="L364" s="146">
        <v>38607.135999999999</v>
      </c>
      <c r="M364" s="146">
        <v>17134.645</v>
      </c>
      <c r="N364" s="146">
        <v>29817.697</v>
      </c>
      <c r="O364" s="146">
        <v>16272.343999999999</v>
      </c>
      <c r="P364" s="183"/>
      <c r="Q364" s="191"/>
      <c r="R364" s="191"/>
      <c r="S364" s="191"/>
      <c r="T364" s="191"/>
      <c r="U364" s="191"/>
      <c r="V364" s="191"/>
    </row>
    <row r="365" spans="1:22">
      <c r="A365" s="263"/>
      <c r="B365" s="145" t="s">
        <v>274</v>
      </c>
      <c r="C365" s="146">
        <v>0</v>
      </c>
      <c r="D365" s="146">
        <v>0</v>
      </c>
      <c r="E365" s="146">
        <v>0</v>
      </c>
      <c r="F365" s="146">
        <v>0</v>
      </c>
      <c r="G365" s="146">
        <v>0</v>
      </c>
      <c r="H365" s="146">
        <v>42.920999999999999</v>
      </c>
      <c r="I365" s="146">
        <v>23.96</v>
      </c>
      <c r="J365" s="146">
        <v>21.622</v>
      </c>
      <c r="K365" s="146">
        <v>0</v>
      </c>
      <c r="L365" s="146">
        <v>152.154</v>
      </c>
      <c r="M365" s="146">
        <v>85.46</v>
      </c>
      <c r="N365" s="146">
        <v>414.49799999999999</v>
      </c>
      <c r="O365" s="146">
        <v>4.125</v>
      </c>
      <c r="P365" s="183"/>
      <c r="Q365" s="191"/>
      <c r="R365" s="191"/>
      <c r="S365" s="191"/>
      <c r="T365" s="191"/>
      <c r="U365" s="191"/>
      <c r="V365" s="191"/>
    </row>
    <row r="366" spans="1:22">
      <c r="A366" s="263"/>
      <c r="B366" s="145" t="s">
        <v>19</v>
      </c>
      <c r="C366" s="146">
        <v>121.52500000000001</v>
      </c>
      <c r="D366" s="146">
        <v>258.358</v>
      </c>
      <c r="E366" s="146">
        <v>111.10599999999999</v>
      </c>
      <c r="F366" s="146">
        <v>1125.6949999999999</v>
      </c>
      <c r="G366" s="146">
        <v>712.31700000000001</v>
      </c>
      <c r="H366" s="146">
        <v>365.18</v>
      </c>
      <c r="I366" s="146">
        <v>1415.2339999999999</v>
      </c>
      <c r="J366" s="146">
        <v>183.179</v>
      </c>
      <c r="K366" s="146">
        <v>614.29399999999998</v>
      </c>
      <c r="L366" s="146">
        <v>562.18100000000004</v>
      </c>
      <c r="M366" s="146">
        <v>119.363</v>
      </c>
      <c r="N366" s="146">
        <v>524.98400000000004</v>
      </c>
      <c r="O366" s="146">
        <v>735.99199999999996</v>
      </c>
      <c r="P366" s="183"/>
      <c r="Q366" s="191"/>
      <c r="R366" s="191"/>
      <c r="S366" s="191"/>
      <c r="T366" s="191"/>
      <c r="U366" s="191"/>
      <c r="V366" s="191"/>
    </row>
    <row r="367" spans="1:22">
      <c r="A367" s="263"/>
      <c r="B367" s="145" t="s">
        <v>224</v>
      </c>
      <c r="C367" s="146">
        <v>0</v>
      </c>
      <c r="D367" s="146">
        <v>0</v>
      </c>
      <c r="E367" s="146">
        <v>0</v>
      </c>
      <c r="F367" s="146">
        <v>0</v>
      </c>
      <c r="G367" s="146">
        <v>0</v>
      </c>
      <c r="H367" s="146">
        <v>0</v>
      </c>
      <c r="I367" s="146">
        <v>0</v>
      </c>
      <c r="J367" s="146">
        <v>0</v>
      </c>
      <c r="K367" s="146">
        <v>0</v>
      </c>
      <c r="L367" s="146">
        <v>0</v>
      </c>
      <c r="M367" s="146">
        <v>0</v>
      </c>
      <c r="N367" s="146">
        <v>0</v>
      </c>
      <c r="O367" s="146">
        <v>0</v>
      </c>
      <c r="P367" s="183"/>
      <c r="Q367" s="191"/>
      <c r="R367" s="191"/>
      <c r="S367" s="191"/>
      <c r="T367" s="191"/>
      <c r="U367" s="191"/>
      <c r="V367" s="191"/>
    </row>
    <row r="368" spans="1:22">
      <c r="A368" s="263"/>
      <c r="B368" s="145" t="s">
        <v>91</v>
      </c>
      <c r="C368" s="146">
        <v>0</v>
      </c>
      <c r="D368" s="146">
        <v>0</v>
      </c>
      <c r="E368" s="146">
        <v>0</v>
      </c>
      <c r="F368" s="146">
        <v>0</v>
      </c>
      <c r="G368" s="146">
        <v>0</v>
      </c>
      <c r="H368" s="146">
        <v>0</v>
      </c>
      <c r="I368" s="146">
        <v>0</v>
      </c>
      <c r="J368" s="146">
        <v>0</v>
      </c>
      <c r="K368" s="146">
        <v>0</v>
      </c>
      <c r="L368" s="146">
        <v>0</v>
      </c>
      <c r="M368" s="146">
        <v>0</v>
      </c>
      <c r="N368" s="146">
        <v>0</v>
      </c>
      <c r="O368" s="146">
        <v>0</v>
      </c>
      <c r="P368" s="183"/>
      <c r="Q368" s="191"/>
      <c r="R368" s="191"/>
      <c r="S368" s="191"/>
      <c r="T368" s="191"/>
      <c r="U368" s="191"/>
      <c r="V368" s="191"/>
    </row>
    <row r="369" spans="1:17">
      <c r="A369" s="263"/>
      <c r="B369" s="145" t="s">
        <v>78</v>
      </c>
      <c r="C369" s="146">
        <v>0</v>
      </c>
      <c r="D369" s="146">
        <v>0</v>
      </c>
      <c r="E369" s="146">
        <v>0</v>
      </c>
      <c r="F369" s="146">
        <v>0</v>
      </c>
      <c r="G369" s="146">
        <v>0</v>
      </c>
      <c r="H369" s="146">
        <v>0</v>
      </c>
      <c r="I369" s="146">
        <v>0</v>
      </c>
      <c r="J369" s="146">
        <v>0</v>
      </c>
      <c r="K369" s="146">
        <v>0</v>
      </c>
      <c r="L369" s="146">
        <v>0</v>
      </c>
      <c r="M369" s="146">
        <v>0</v>
      </c>
      <c r="N369" s="146">
        <v>0</v>
      </c>
      <c r="O369" s="146">
        <v>0</v>
      </c>
      <c r="P369" s="183"/>
    </row>
    <row r="370" spans="1:17">
      <c r="A370" s="263"/>
      <c r="B370" s="145" t="s">
        <v>87</v>
      </c>
      <c r="C370" s="146">
        <v>170.661</v>
      </c>
      <c r="D370" s="146">
        <v>77.587000000000003</v>
      </c>
      <c r="E370" s="146">
        <v>48.784999999999997</v>
      </c>
      <c r="F370" s="146">
        <v>541.41</v>
      </c>
      <c r="G370" s="146">
        <v>490.61900000000003</v>
      </c>
      <c r="H370" s="146">
        <v>598.42600000000004</v>
      </c>
      <c r="I370" s="146">
        <v>669.4</v>
      </c>
      <c r="J370" s="146">
        <v>1386.989</v>
      </c>
      <c r="K370" s="146">
        <v>1121.5920000000001</v>
      </c>
      <c r="L370" s="146">
        <v>696.14200000000005</v>
      </c>
      <c r="M370" s="146">
        <v>21.475000000000001</v>
      </c>
      <c r="N370" s="146">
        <v>673.13300000000004</v>
      </c>
      <c r="O370" s="146">
        <v>10.464</v>
      </c>
      <c r="P370" s="183"/>
    </row>
    <row r="371" spans="1:17">
      <c r="A371" s="263"/>
      <c r="B371" s="145" t="s">
        <v>92</v>
      </c>
      <c r="C371" s="146">
        <v>291.70400000000001</v>
      </c>
      <c r="D371" s="146">
        <v>0.32300000000000001</v>
      </c>
      <c r="E371" s="146">
        <v>167.35599999999999</v>
      </c>
      <c r="F371" s="146">
        <v>107.09699999999999</v>
      </c>
      <c r="G371" s="146">
        <v>78.733000000000004</v>
      </c>
      <c r="H371" s="146">
        <v>91.48</v>
      </c>
      <c r="I371" s="146">
        <v>168.80799999999999</v>
      </c>
      <c r="J371" s="146">
        <v>378.25400000000002</v>
      </c>
      <c r="K371" s="146">
        <v>0</v>
      </c>
      <c r="L371" s="146">
        <v>6.06</v>
      </c>
      <c r="M371" s="146">
        <v>0</v>
      </c>
      <c r="N371" s="146">
        <v>0</v>
      </c>
      <c r="O371" s="146">
        <v>0</v>
      </c>
      <c r="P371" s="184">
        <f>O375/C375-1</f>
        <v>-0.28988063658547203</v>
      </c>
      <c r="Q371" s="184">
        <f>(O357+O375)/(C375+C357)-1</f>
        <v>-8.1971276640438462E-2</v>
      </c>
    </row>
    <row r="372" spans="1:17">
      <c r="A372" s="263"/>
      <c r="B372" s="145" t="s">
        <v>84</v>
      </c>
      <c r="C372" s="146">
        <v>675.24599999999998</v>
      </c>
      <c r="D372" s="146">
        <v>1357.9770000000001</v>
      </c>
      <c r="E372" s="146">
        <v>504.74200000000002</v>
      </c>
      <c r="F372" s="146">
        <v>5828.8280000000004</v>
      </c>
      <c r="G372" s="146">
        <v>8387.5049999999992</v>
      </c>
      <c r="H372" s="146">
        <v>11010.724</v>
      </c>
      <c r="I372" s="146">
        <v>10833.011</v>
      </c>
      <c r="J372" s="146">
        <v>4597.1080000000002</v>
      </c>
      <c r="K372" s="146">
        <v>4121.2039999999997</v>
      </c>
      <c r="L372" s="146">
        <v>6669.0439999999999</v>
      </c>
      <c r="M372" s="146">
        <v>4289.0709999999999</v>
      </c>
      <c r="N372" s="146">
        <v>580.30200000000002</v>
      </c>
      <c r="O372" s="146">
        <v>297.23099999999999</v>
      </c>
      <c r="P372" s="183"/>
    </row>
    <row r="373" spans="1:17">
      <c r="A373" s="263"/>
      <c r="B373" s="145" t="s">
        <v>85</v>
      </c>
      <c r="C373" s="146">
        <v>466.6</v>
      </c>
      <c r="D373" s="146">
        <v>1117.1780000000001</v>
      </c>
      <c r="E373" s="146">
        <v>595.601</v>
      </c>
      <c r="F373" s="146">
        <v>6543.5209999999997</v>
      </c>
      <c r="G373" s="146">
        <v>12018.695</v>
      </c>
      <c r="H373" s="146">
        <v>10891.841</v>
      </c>
      <c r="I373" s="146">
        <v>5665.9579999999996</v>
      </c>
      <c r="J373" s="146">
        <v>13777.802</v>
      </c>
      <c r="K373" s="146">
        <v>8695.57</v>
      </c>
      <c r="L373" s="146">
        <v>685.92</v>
      </c>
      <c r="M373" s="146">
        <v>0</v>
      </c>
      <c r="N373" s="146">
        <v>12.4</v>
      </c>
      <c r="O373" s="146">
        <v>102.47499999999999</v>
      </c>
      <c r="P373" s="183"/>
    </row>
    <row r="374" spans="1:17">
      <c r="A374" s="263"/>
      <c r="B374" s="145" t="s">
        <v>82</v>
      </c>
      <c r="C374" s="146">
        <v>0</v>
      </c>
      <c r="D374" s="146">
        <v>1146.375</v>
      </c>
      <c r="E374" s="146">
        <v>4757.4750000000004</v>
      </c>
      <c r="F374" s="146">
        <v>4314.3549999999996</v>
      </c>
      <c r="G374" s="146">
        <v>157.5</v>
      </c>
      <c r="H374" s="146">
        <v>0</v>
      </c>
      <c r="I374" s="146">
        <v>1978.1659999999999</v>
      </c>
      <c r="J374" s="146">
        <v>0</v>
      </c>
      <c r="K374" s="146">
        <v>996.77499999999998</v>
      </c>
      <c r="L374" s="146">
        <v>3929.3</v>
      </c>
      <c r="M374" s="146">
        <v>3606.1</v>
      </c>
      <c r="N374" s="146">
        <v>4997.3999999999996</v>
      </c>
      <c r="O374" s="146">
        <v>649.82500000000005</v>
      </c>
      <c r="P374" s="183"/>
    </row>
    <row r="375" spans="1:17">
      <c r="A375" s="262"/>
      <c r="B375" s="220" t="s">
        <v>0</v>
      </c>
      <c r="C375" s="222">
        <v>46722.523999999998</v>
      </c>
      <c r="D375" s="222">
        <v>46337.284</v>
      </c>
      <c r="E375" s="222">
        <v>34769.385999999999</v>
      </c>
      <c r="F375" s="222">
        <v>74553.400999999998</v>
      </c>
      <c r="G375" s="222">
        <v>54570.563000000002</v>
      </c>
      <c r="H375" s="222">
        <v>44994.226000000002</v>
      </c>
      <c r="I375" s="222">
        <v>68058.831999999995</v>
      </c>
      <c r="J375" s="222">
        <v>87286.14</v>
      </c>
      <c r="K375" s="222">
        <v>71562.176999999996</v>
      </c>
      <c r="L375" s="222">
        <v>66348.732999999993</v>
      </c>
      <c r="M375" s="222">
        <v>45745.837</v>
      </c>
      <c r="N375" s="222">
        <v>60232.735000000001</v>
      </c>
      <c r="O375" s="222">
        <v>33178.569000000003</v>
      </c>
      <c r="P375" s="183"/>
    </row>
    <row r="376" spans="1:17">
      <c r="A376" s="191"/>
      <c r="B376" s="191"/>
      <c r="C376" s="191"/>
      <c r="D376" s="191"/>
      <c r="E376" s="191"/>
      <c r="F376" s="191"/>
      <c r="G376" s="191"/>
      <c r="H376" s="191"/>
      <c r="I376" s="191"/>
      <c r="J376" s="191"/>
      <c r="K376" s="191"/>
      <c r="L376" s="191"/>
      <c r="M376" s="191"/>
      <c r="N376" s="191"/>
      <c r="P376" s="183"/>
    </row>
    <row r="377" spans="1:17">
      <c r="A377" s="191"/>
      <c r="B377" s="191"/>
      <c r="C377" s="191"/>
      <c r="D377" s="191"/>
      <c r="E377" s="191"/>
      <c r="F377" s="191"/>
      <c r="G377" s="191"/>
      <c r="H377" s="191"/>
      <c r="I377" s="191"/>
      <c r="J377" s="191"/>
      <c r="K377" s="191"/>
      <c r="L377" s="191"/>
      <c r="M377" s="191"/>
      <c r="N377" s="191"/>
    </row>
    <row r="378" spans="1:17">
      <c r="A378" s="191"/>
      <c r="B378" s="191"/>
      <c r="C378" s="191"/>
      <c r="D378" s="191"/>
      <c r="E378" s="191"/>
      <c r="F378" s="191"/>
      <c r="G378" s="191"/>
      <c r="H378" s="191"/>
      <c r="I378" s="191"/>
      <c r="J378" s="191"/>
      <c r="K378" s="191"/>
      <c r="L378" s="191"/>
      <c r="M378" s="191"/>
      <c r="N378" s="191"/>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267</v>
      </c>
    </row>
    <row r="390" spans="1:15">
      <c r="B390" s="169" t="str">
        <f>MID(B391,6,1)</f>
        <v>E</v>
      </c>
      <c r="C390" s="169" t="str">
        <f t="shared" ref="C390:N390" si="12">MID(C391,6,1)</f>
        <v>F</v>
      </c>
      <c r="D390" s="169" t="str">
        <f t="shared" si="12"/>
        <v>M</v>
      </c>
      <c r="E390" s="169" t="str">
        <f t="shared" si="12"/>
        <v>A</v>
      </c>
      <c r="F390" s="169" t="str">
        <f t="shared" si="12"/>
        <v>M</v>
      </c>
      <c r="G390" s="169" t="str">
        <f t="shared" si="12"/>
        <v>J</v>
      </c>
      <c r="H390" s="169" t="str">
        <f t="shared" si="12"/>
        <v>J</v>
      </c>
      <c r="I390" s="169" t="str">
        <f t="shared" si="12"/>
        <v>A</v>
      </c>
      <c r="J390" s="169" t="str">
        <f t="shared" si="12"/>
        <v>S</v>
      </c>
      <c r="K390" s="169" t="str">
        <f t="shared" si="12"/>
        <v>O</v>
      </c>
      <c r="L390" s="169" t="str">
        <f t="shared" si="12"/>
        <v>N</v>
      </c>
      <c r="M390" s="169" t="str">
        <f t="shared" si="12"/>
        <v>D</v>
      </c>
      <c r="N390" s="169" t="str">
        <f t="shared" si="12"/>
        <v>E</v>
      </c>
    </row>
    <row r="391" spans="1:15">
      <c r="A391" s="143" t="s">
        <v>93</v>
      </c>
      <c r="B391" s="172" t="s">
        <v>263</v>
      </c>
      <c r="C391" s="172" t="s">
        <v>265</v>
      </c>
      <c r="D391" s="172" t="s">
        <v>268</v>
      </c>
      <c r="E391" s="172" t="s">
        <v>272</v>
      </c>
      <c r="F391" s="172" t="s">
        <v>276</v>
      </c>
      <c r="G391" s="172" t="s">
        <v>278</v>
      </c>
      <c r="H391" s="172" t="s">
        <v>280</v>
      </c>
      <c r="I391" s="172" t="s">
        <v>282</v>
      </c>
      <c r="J391" s="172" t="s">
        <v>284</v>
      </c>
      <c r="K391" s="172" t="s">
        <v>291</v>
      </c>
      <c r="L391" s="172" t="s">
        <v>294</v>
      </c>
      <c r="M391" s="172" t="s">
        <v>296</v>
      </c>
      <c r="N391" s="172" t="s">
        <v>331</v>
      </c>
    </row>
    <row r="392" spans="1:15">
      <c r="A392" s="143" t="s">
        <v>27</v>
      </c>
      <c r="B392" s="170"/>
      <c r="C392" s="170"/>
      <c r="D392" s="170"/>
      <c r="E392" s="170"/>
      <c r="F392" s="170"/>
      <c r="G392" s="170"/>
      <c r="H392" s="170"/>
      <c r="I392" s="170"/>
      <c r="J392" s="170"/>
      <c r="K392" s="170"/>
      <c r="L392" s="170"/>
      <c r="M392" s="170"/>
      <c r="N392" s="170"/>
    </row>
    <row r="393" spans="1:15">
      <c r="A393" s="145" t="s">
        <v>214</v>
      </c>
      <c r="B393" s="223">
        <v>33579.313999999998</v>
      </c>
      <c r="C393" s="223">
        <v>37013.466999999997</v>
      </c>
      <c r="D393" s="223">
        <v>48075.601000000002</v>
      </c>
      <c r="E393" s="223">
        <v>48279.934000000001</v>
      </c>
      <c r="F393" s="223">
        <v>40829.029000000002</v>
      </c>
      <c r="G393" s="223">
        <v>25415.793000000001</v>
      </c>
      <c r="H393" s="223">
        <v>21564.28</v>
      </c>
      <c r="I393" s="223">
        <v>22923.624</v>
      </c>
      <c r="J393" s="223">
        <v>30495.718000000001</v>
      </c>
      <c r="K393" s="223">
        <v>56182.945</v>
      </c>
      <c r="L393" s="223">
        <v>56797.224999999999</v>
      </c>
      <c r="M393" s="223">
        <v>41067.438999999998</v>
      </c>
      <c r="N393" s="223">
        <v>70956.782000000007</v>
      </c>
      <c r="O393" s="66"/>
    </row>
    <row r="394" spans="1:15">
      <c r="A394" s="145" t="s">
        <v>215</v>
      </c>
      <c r="B394" s="223">
        <v>42940.298999999999</v>
      </c>
      <c r="C394" s="223">
        <v>20128.651000000002</v>
      </c>
      <c r="D394" s="223">
        <v>27686.833999999999</v>
      </c>
      <c r="E394" s="223">
        <v>37797.379999999997</v>
      </c>
      <c r="F394" s="223">
        <v>49598.798000000003</v>
      </c>
      <c r="G394" s="223">
        <v>52468.745000000003</v>
      </c>
      <c r="H394" s="223">
        <v>56804.675000000003</v>
      </c>
      <c r="I394" s="223">
        <v>50694.324000000001</v>
      </c>
      <c r="J394" s="223">
        <v>45030.47</v>
      </c>
      <c r="K394" s="223">
        <v>46979.968999999997</v>
      </c>
      <c r="L394" s="223">
        <v>40854.091</v>
      </c>
      <c r="M394" s="223">
        <v>49099.819000000003</v>
      </c>
      <c r="N394" s="223">
        <v>48783.938000000002</v>
      </c>
      <c r="O394" s="66"/>
    </row>
    <row r="395" spans="1:15">
      <c r="A395" s="175" t="s">
        <v>213</v>
      </c>
      <c r="B395" s="178">
        <f t="shared" ref="B395:N395" si="13">SUM(B393:B394)</f>
        <v>76519.612999999998</v>
      </c>
      <c r="C395" s="178">
        <f t="shared" si="13"/>
        <v>57142.118000000002</v>
      </c>
      <c r="D395" s="178">
        <f t="shared" si="13"/>
        <v>75762.434999999998</v>
      </c>
      <c r="E395" s="178">
        <f t="shared" si="13"/>
        <v>86077.313999999998</v>
      </c>
      <c r="F395" s="178">
        <f t="shared" si="13"/>
        <v>90427.827000000005</v>
      </c>
      <c r="G395" s="178">
        <f t="shared" si="13"/>
        <v>77884.538</v>
      </c>
      <c r="H395" s="178">
        <f t="shared" si="13"/>
        <v>78368.955000000002</v>
      </c>
      <c r="I395" s="178">
        <f t="shared" si="13"/>
        <v>73617.948000000004</v>
      </c>
      <c r="J395" s="178">
        <f t="shared" si="13"/>
        <v>75526.187999999995</v>
      </c>
      <c r="K395" s="178">
        <f t="shared" si="13"/>
        <v>103162.91399999999</v>
      </c>
      <c r="L395" s="178">
        <f t="shared" si="13"/>
        <v>97651.315999999992</v>
      </c>
      <c r="M395" s="178">
        <f t="shared" si="13"/>
        <v>90167.258000000002</v>
      </c>
      <c r="N395" s="178">
        <f t="shared" si="13"/>
        <v>119740.72</v>
      </c>
    </row>
    <row r="396" spans="1:15">
      <c r="A396" s="145"/>
    </row>
    <row r="397" spans="1:15">
      <c r="A397" s="145"/>
    </row>
    <row r="398" spans="1:15">
      <c r="A398" s="88" t="s">
        <v>218</v>
      </c>
    </row>
    <row r="399" spans="1:15">
      <c r="A399" s="88" t="s">
        <v>219</v>
      </c>
    </row>
    <row r="400" spans="1:15">
      <c r="A400" s="143"/>
      <c r="B400" s="143" t="s">
        <v>27</v>
      </c>
      <c r="C400" s="264" t="s">
        <v>343</v>
      </c>
      <c r="D400" s="265"/>
      <c r="E400" s="265"/>
      <c r="F400" s="265"/>
      <c r="G400" s="265"/>
      <c r="H400" s="265"/>
      <c r="I400" s="265"/>
      <c r="J400" s="265"/>
      <c r="K400" s="265"/>
      <c r="L400" s="265"/>
      <c r="M400" s="265"/>
      <c r="N400" s="265"/>
      <c r="O400" s="265"/>
    </row>
    <row r="401" spans="1:18">
      <c r="A401" s="143"/>
      <c r="B401" s="143" t="s">
        <v>93</v>
      </c>
      <c r="C401" s="172" t="s">
        <v>263</v>
      </c>
      <c r="D401" s="172" t="s">
        <v>265</v>
      </c>
      <c r="E401" s="172" t="s">
        <v>268</v>
      </c>
      <c r="F401" s="172" t="s">
        <v>272</v>
      </c>
      <c r="G401" s="172" t="s">
        <v>276</v>
      </c>
      <c r="H401" s="172" t="s">
        <v>278</v>
      </c>
      <c r="I401" s="172" t="s">
        <v>280</v>
      </c>
      <c r="J401" s="172" t="s">
        <v>282</v>
      </c>
      <c r="K401" s="172" t="s">
        <v>284</v>
      </c>
      <c r="L401" s="172" t="s">
        <v>291</v>
      </c>
      <c r="M401" s="172" t="s">
        <v>294</v>
      </c>
      <c r="N401" s="172" t="s">
        <v>296</v>
      </c>
      <c r="O401" s="172" t="s">
        <v>331</v>
      </c>
    </row>
    <row r="402" spans="1:18">
      <c r="A402" s="143" t="s">
        <v>126</v>
      </c>
      <c r="B402" s="143" t="s">
        <v>250</v>
      </c>
      <c r="C402" s="170"/>
      <c r="D402" s="170"/>
      <c r="E402" s="170"/>
      <c r="F402" s="170"/>
      <c r="G402" s="170"/>
      <c r="H402" s="170"/>
      <c r="I402" s="170"/>
      <c r="J402" s="170"/>
      <c r="K402" s="170"/>
      <c r="L402" s="170"/>
      <c r="M402" s="170"/>
      <c r="N402" s="170"/>
      <c r="O402" s="170"/>
    </row>
    <row r="403" spans="1:18">
      <c r="A403" s="261" t="s">
        <v>77</v>
      </c>
      <c r="B403" s="145" t="s">
        <v>177</v>
      </c>
      <c r="C403" s="223">
        <v>155.13578439770001</v>
      </c>
      <c r="D403" s="223">
        <v>131.86444546679999</v>
      </c>
      <c r="E403" s="223">
        <v>99.9932993834</v>
      </c>
      <c r="F403" s="223">
        <v>93.258906953199997</v>
      </c>
      <c r="G403" s="223">
        <v>114.750116874</v>
      </c>
      <c r="H403" s="223">
        <v>119.53299055479999</v>
      </c>
      <c r="I403" s="223">
        <v>142.29953853699999</v>
      </c>
      <c r="J403" s="223">
        <v>169.8250358736</v>
      </c>
      <c r="K403" s="223">
        <v>155.87385113639999</v>
      </c>
      <c r="L403" s="223">
        <v>156.48894517759999</v>
      </c>
      <c r="M403" s="223">
        <v>180.21856425760001</v>
      </c>
      <c r="N403" s="223">
        <v>189.98390589690001</v>
      </c>
      <c r="O403" s="223">
        <v>194.01727648470001</v>
      </c>
      <c r="P403" s="185">
        <f>O403/C403-1</f>
        <v>0.2506287781246197</v>
      </c>
    </row>
    <row r="404" spans="1:18">
      <c r="A404" s="262"/>
      <c r="B404" s="145" t="s">
        <v>181</v>
      </c>
      <c r="C404" s="223">
        <v>223.77072503209999</v>
      </c>
      <c r="D404" s="223">
        <v>201.27576560279999</v>
      </c>
      <c r="E404" s="223">
        <v>195.80704604330001</v>
      </c>
      <c r="F404" s="223">
        <v>207.71955763529999</v>
      </c>
      <c r="G404" s="223">
        <v>240.31007922480001</v>
      </c>
      <c r="H404" s="223">
        <v>243.8197242377</v>
      </c>
      <c r="I404" s="223">
        <v>225.21968150449999</v>
      </c>
      <c r="J404" s="223">
        <v>235.40917235090001</v>
      </c>
      <c r="K404" s="223">
        <v>250.48584114369999</v>
      </c>
      <c r="L404" s="223">
        <v>255.80172168359999</v>
      </c>
      <c r="M404" s="223">
        <v>283.00054653040002</v>
      </c>
      <c r="N404" s="223">
        <v>303.92478247470001</v>
      </c>
      <c r="O404" s="223">
        <v>295.65828921709999</v>
      </c>
      <c r="P404" s="185">
        <f>O404/C404-1</f>
        <v>0.32125544650529103</v>
      </c>
    </row>
    <row r="405" spans="1:18">
      <c r="A405" s="267" t="s">
        <v>81</v>
      </c>
      <c r="B405" s="145" t="s">
        <v>177</v>
      </c>
      <c r="C405" s="223">
        <v>63.564597305100001</v>
      </c>
      <c r="D405" s="223">
        <v>33.649477987399997</v>
      </c>
      <c r="E405" s="223">
        <v>10.5530860804</v>
      </c>
      <c r="F405" s="223">
        <v>4.7369239244000001</v>
      </c>
      <c r="G405" s="223">
        <v>18.889523041299999</v>
      </c>
      <c r="H405" s="223">
        <v>35.244959526499997</v>
      </c>
      <c r="I405" s="223">
        <v>63.399845817299997</v>
      </c>
      <c r="J405" s="223">
        <v>86.755411534900006</v>
      </c>
      <c r="K405" s="223">
        <v>67.661076487499997</v>
      </c>
      <c r="L405" s="223">
        <v>62.673256377999998</v>
      </c>
      <c r="M405" s="223">
        <v>92.2735799222</v>
      </c>
      <c r="N405" s="223">
        <v>93.843193179599993</v>
      </c>
      <c r="O405" s="223">
        <v>83.688895800300003</v>
      </c>
      <c r="P405" s="185">
        <f>O405/C405-1</f>
        <v>0.31659601961460648</v>
      </c>
    </row>
    <row r="406" spans="1:18">
      <c r="A406" s="262"/>
      <c r="B406" s="145" t="s">
        <v>181</v>
      </c>
      <c r="C406" s="243">
        <v>32.454013324729601</v>
      </c>
      <c r="D406" s="243">
        <v>7.4689793154687303</v>
      </c>
      <c r="E406" s="243">
        <v>-1.1678273516247899</v>
      </c>
      <c r="F406" s="243">
        <v>-20.751712967742399</v>
      </c>
      <c r="G406" s="243">
        <v>-1.8577352138184799</v>
      </c>
      <c r="H406" s="243">
        <v>-4.4592792234274699</v>
      </c>
      <c r="I406" s="243">
        <v>-6.9976926164704096</v>
      </c>
      <c r="J406" s="243">
        <v>-11.445581946156199</v>
      </c>
      <c r="K406" s="243">
        <v>-16.474276763016899</v>
      </c>
      <c r="L406" s="243">
        <v>6.6043489614488999</v>
      </c>
      <c r="M406" s="243">
        <v>33.4109724621281</v>
      </c>
      <c r="N406" s="243">
        <v>21.356870173270401</v>
      </c>
      <c r="O406" s="243">
        <v>34.347338602035499</v>
      </c>
      <c r="P406" s="185">
        <f>O406/C406-1</f>
        <v>5.8338710173117647E-2</v>
      </c>
    </row>
    <row r="407" spans="1:18">
      <c r="A407" s="145"/>
      <c r="B407" s="145"/>
      <c r="C407" s="145"/>
      <c r="D407" s="145"/>
      <c r="E407" s="145"/>
      <c r="F407" s="145"/>
      <c r="G407" s="145"/>
      <c r="H407" s="145"/>
      <c r="I407" s="145"/>
      <c r="J407" s="145"/>
      <c r="K407" s="145"/>
      <c r="L407" s="145"/>
      <c r="M407" s="145"/>
      <c r="N407" s="145"/>
      <c r="O407" s="145"/>
      <c r="P407" s="145"/>
    </row>
    <row r="408" spans="1:18">
      <c r="A408" s="145"/>
      <c r="B408" s="145"/>
      <c r="C408" s="207"/>
      <c r="D408" s="207"/>
      <c r="E408" s="207"/>
      <c r="F408" s="207"/>
      <c r="G408" s="207"/>
      <c r="H408" s="207"/>
      <c r="I408" s="207"/>
      <c r="J408" s="207"/>
      <c r="K408" s="207"/>
      <c r="L408" s="207"/>
      <c r="M408" s="207"/>
      <c r="N408" s="207"/>
      <c r="O408" s="207"/>
      <c r="P408" s="207"/>
    </row>
    <row r="409" spans="1:18">
      <c r="A409" t="s">
        <v>220</v>
      </c>
    </row>
    <row r="410" spans="1:18">
      <c r="A410" s="143"/>
      <c r="B410" s="143" t="s">
        <v>27</v>
      </c>
      <c r="C410" s="264" t="s">
        <v>187</v>
      </c>
      <c r="D410" s="265"/>
      <c r="E410" s="265"/>
      <c r="F410" s="265"/>
      <c r="G410" s="265"/>
      <c r="H410" s="265"/>
      <c r="I410" s="265"/>
      <c r="J410" s="265"/>
      <c r="K410" s="265"/>
      <c r="L410" s="265"/>
      <c r="M410" s="265"/>
      <c r="N410" s="265"/>
      <c r="O410" s="265"/>
    </row>
    <row r="411" spans="1:18">
      <c r="A411" s="143"/>
      <c r="B411" s="143" t="s">
        <v>93</v>
      </c>
      <c r="C411" s="172" t="s">
        <v>263</v>
      </c>
      <c r="D411" s="172" t="s">
        <v>265</v>
      </c>
      <c r="E411" s="172" t="s">
        <v>268</v>
      </c>
      <c r="F411" s="172" t="s">
        <v>272</v>
      </c>
      <c r="G411" s="172" t="s">
        <v>276</v>
      </c>
      <c r="H411" s="172" t="s">
        <v>278</v>
      </c>
      <c r="I411" s="172" t="s">
        <v>280</v>
      </c>
      <c r="J411" s="172" t="s">
        <v>282</v>
      </c>
      <c r="K411" s="172" t="s">
        <v>284</v>
      </c>
      <c r="L411" s="172" t="s">
        <v>291</v>
      </c>
      <c r="M411" s="172" t="s">
        <v>294</v>
      </c>
      <c r="N411" s="172" t="s">
        <v>296</v>
      </c>
      <c r="O411" s="172" t="s">
        <v>331</v>
      </c>
    </row>
    <row r="412" spans="1:18">
      <c r="A412" s="143" t="s">
        <v>126</v>
      </c>
      <c r="B412" s="143" t="s">
        <v>252</v>
      </c>
      <c r="C412" s="170"/>
      <c r="D412" s="170"/>
      <c r="E412" s="170"/>
      <c r="F412" s="170"/>
      <c r="G412" s="170"/>
      <c r="H412" s="170"/>
      <c r="I412" s="170"/>
      <c r="J412" s="170"/>
      <c r="K412" s="170"/>
      <c r="L412" s="170"/>
      <c r="M412" s="170"/>
      <c r="N412" s="170"/>
      <c r="O412" s="170"/>
    </row>
    <row r="413" spans="1:18">
      <c r="A413" s="261" t="s">
        <v>77</v>
      </c>
      <c r="B413" s="145" t="s">
        <v>178</v>
      </c>
      <c r="C413" s="223">
        <v>34.116235347100002</v>
      </c>
      <c r="D413" s="223">
        <v>30.391169692999998</v>
      </c>
      <c r="E413" s="223">
        <v>27.609046432</v>
      </c>
      <c r="F413" s="223">
        <v>24.197217951799999</v>
      </c>
      <c r="G413" s="223">
        <v>28.805418648700002</v>
      </c>
      <c r="H413" s="223">
        <v>46.174349017799997</v>
      </c>
      <c r="I413" s="223">
        <v>28.550093757900001</v>
      </c>
      <c r="J413" s="223">
        <v>27.663462874099999</v>
      </c>
      <c r="K413" s="223">
        <v>32.211216648799997</v>
      </c>
      <c r="L413" s="223">
        <v>40.765020854699998</v>
      </c>
      <c r="M413" s="223">
        <v>38.264322053299999</v>
      </c>
      <c r="N413" s="223">
        <v>57.2527025045</v>
      </c>
      <c r="O413" s="223">
        <v>51.890255956300003</v>
      </c>
      <c r="P413" s="185">
        <f>O413/C413-1</f>
        <v>0.52098423018736906</v>
      </c>
    </row>
    <row r="414" spans="1:18">
      <c r="A414" s="263"/>
      <c r="B414" s="145" t="s">
        <v>179</v>
      </c>
      <c r="C414" s="223">
        <v>87.041140710500002</v>
      </c>
      <c r="D414" s="223">
        <v>49.255281875999998</v>
      </c>
      <c r="E414" s="223">
        <v>25.498564616199999</v>
      </c>
      <c r="F414" s="223">
        <v>23.263243803999998</v>
      </c>
      <c r="G414" s="223">
        <v>51.878559897800002</v>
      </c>
      <c r="H414" s="223">
        <v>79.512672150699998</v>
      </c>
      <c r="I414" s="223">
        <v>86.649319574299994</v>
      </c>
      <c r="J414" s="223">
        <v>102.8039265768</v>
      </c>
      <c r="K414" s="223">
        <v>88.768818947499994</v>
      </c>
      <c r="L414" s="223">
        <v>88.323514448099999</v>
      </c>
      <c r="M414" s="223">
        <v>107.14911147159999</v>
      </c>
      <c r="N414" s="223">
        <v>138.76353913809999</v>
      </c>
      <c r="O414" s="223">
        <v>132.86955354610001</v>
      </c>
      <c r="P414" s="185">
        <f>O414/C414-1</f>
        <v>0.52651438689235386</v>
      </c>
    </row>
    <row r="415" spans="1:18">
      <c r="A415" s="263"/>
      <c r="B415" s="145" t="s">
        <v>251</v>
      </c>
      <c r="C415" s="223">
        <v>101.4055087979</v>
      </c>
      <c r="D415" s="223">
        <v>54.715808582599998</v>
      </c>
      <c r="E415" s="223">
        <v>16.668427916500001</v>
      </c>
      <c r="F415" s="223">
        <v>43.211302561700002</v>
      </c>
      <c r="G415" s="223">
        <v>60.628175665999997</v>
      </c>
      <c r="H415" s="223">
        <v>89.108096908600004</v>
      </c>
      <c r="I415" s="223">
        <v>97.5221057535</v>
      </c>
      <c r="J415" s="223">
        <v>115.105830533</v>
      </c>
      <c r="K415" s="223">
        <v>110.71596343</v>
      </c>
      <c r="L415" s="223">
        <v>87.959738396199995</v>
      </c>
      <c r="M415" s="223">
        <v>130.5386133415</v>
      </c>
      <c r="N415" s="223">
        <v>147.46420178290001</v>
      </c>
      <c r="O415" s="223">
        <v>132.73885826060001</v>
      </c>
      <c r="P415" s="185">
        <f>O415/C415-1</f>
        <v>0.30899060449612281</v>
      </c>
    </row>
    <row r="416" spans="1:18">
      <c r="A416" s="262"/>
      <c r="B416" s="145" t="s">
        <v>180</v>
      </c>
      <c r="C416" s="223">
        <v>96.015566196199998</v>
      </c>
      <c r="D416" s="223">
        <v>58.407531980800002</v>
      </c>
      <c r="E416" s="223">
        <v>23.9411482786</v>
      </c>
      <c r="F416" s="223">
        <v>32.900009541700001</v>
      </c>
      <c r="G416" s="223">
        <v>64.074680799000006</v>
      </c>
      <c r="H416" s="223">
        <v>93.701156764000004</v>
      </c>
      <c r="I416" s="223">
        <v>97.325009448100005</v>
      </c>
      <c r="J416" s="223">
        <v>114.6892769159</v>
      </c>
      <c r="K416" s="223">
        <v>106.6717990865</v>
      </c>
      <c r="L416" s="223">
        <v>96.757878917900001</v>
      </c>
      <c r="M416" s="223">
        <v>130.18347199920001</v>
      </c>
      <c r="N416" s="223">
        <v>143.12100996730001</v>
      </c>
      <c r="O416" s="223">
        <v>128.90381284489999</v>
      </c>
      <c r="P416" s="185">
        <f>O416/C416-1</f>
        <v>0.34253036201958675</v>
      </c>
      <c r="R416" s="204">
        <v>147.141711762314</v>
      </c>
    </row>
    <row r="417" spans="1:19">
      <c r="A417" s="267" t="s">
        <v>81</v>
      </c>
      <c r="B417" s="145" t="s">
        <v>178</v>
      </c>
      <c r="C417" s="223"/>
      <c r="D417" s="223"/>
      <c r="E417" s="223"/>
      <c r="F417" s="223"/>
      <c r="G417" s="223"/>
      <c r="H417" s="223"/>
      <c r="I417" s="223"/>
      <c r="J417" s="223"/>
      <c r="K417" s="223"/>
      <c r="L417" s="223"/>
      <c r="M417" s="223">
        <v>45.035521148100003</v>
      </c>
      <c r="N417" s="223">
        <v>33.672806635400001</v>
      </c>
      <c r="O417" s="223">
        <v>37.464347836400002</v>
      </c>
      <c r="P417" s="183"/>
    </row>
    <row r="418" spans="1:19">
      <c r="A418" s="263"/>
      <c r="B418" s="145" t="s">
        <v>179</v>
      </c>
      <c r="C418" s="223">
        <v>41.148505531200001</v>
      </c>
      <c r="D418" s="223">
        <v>12.454618358099999</v>
      </c>
      <c r="E418" s="223">
        <v>6.3259059483</v>
      </c>
      <c r="F418" s="223">
        <v>-82.978499038799995</v>
      </c>
      <c r="G418" s="223">
        <v>8.8440810864999992</v>
      </c>
      <c r="H418" s="223">
        <v>25.188011158999998</v>
      </c>
      <c r="I418" s="223">
        <v>46.176107250699999</v>
      </c>
      <c r="J418" s="223">
        <v>52.021473464800003</v>
      </c>
      <c r="K418" s="223">
        <v>33.235310798100002</v>
      </c>
      <c r="L418" s="223">
        <v>26.148324822799999</v>
      </c>
      <c r="M418" s="223">
        <v>66.941169858400002</v>
      </c>
      <c r="N418" s="223">
        <v>57.073603840700002</v>
      </c>
      <c r="O418" s="223">
        <v>25.114163045200002</v>
      </c>
      <c r="P418" s="185">
        <f>O418/C418-1</f>
        <v>-0.38967010536609381</v>
      </c>
    </row>
    <row r="419" spans="1:19">
      <c r="A419" s="263"/>
      <c r="B419" s="145" t="s">
        <v>251</v>
      </c>
      <c r="C419" s="223">
        <v>32.455270508300003</v>
      </c>
      <c r="D419" s="223">
        <v>13.559000728199999</v>
      </c>
      <c r="E419" s="223">
        <v>5.6187015046999997</v>
      </c>
      <c r="F419" s="223">
        <v>-22.445101460299998</v>
      </c>
      <c r="G419" s="223">
        <v>0.64371816849999997</v>
      </c>
      <c r="H419" s="223">
        <v>8.7326280057000005</v>
      </c>
      <c r="I419" s="223">
        <v>21.612704861400001</v>
      </c>
      <c r="J419" s="223">
        <v>31.9436785561</v>
      </c>
      <c r="K419" s="223">
        <v>25.912088802</v>
      </c>
      <c r="L419" s="223">
        <v>35.972563547599997</v>
      </c>
      <c r="M419" s="223">
        <v>59.567486707100002</v>
      </c>
      <c r="N419" s="223">
        <v>71.541896375299999</v>
      </c>
      <c r="O419" s="223">
        <v>54.339434263699999</v>
      </c>
      <c r="P419" s="185">
        <f>O419/C419-1</f>
        <v>0.67428690048364914</v>
      </c>
    </row>
    <row r="420" spans="1:19">
      <c r="A420" s="262"/>
      <c r="B420" s="145" t="s">
        <v>180</v>
      </c>
      <c r="C420" s="223">
        <v>20.3539588262</v>
      </c>
      <c r="D420" s="223">
        <v>7.2868159629999996</v>
      </c>
      <c r="E420" s="223">
        <v>-5.5617885725000002</v>
      </c>
      <c r="F420" s="223">
        <v>-52.450720009299999</v>
      </c>
      <c r="G420" s="223">
        <v>-2.1895631825000001</v>
      </c>
      <c r="H420" s="223">
        <v>15.1893099732</v>
      </c>
      <c r="I420" s="223">
        <v>22.072287538600001</v>
      </c>
      <c r="J420" s="223">
        <v>35.264518477099998</v>
      </c>
      <c r="K420" s="223">
        <v>14.2514126045</v>
      </c>
      <c r="L420" s="223">
        <v>14.1504108037</v>
      </c>
      <c r="M420" s="223">
        <v>47.966835835799998</v>
      </c>
      <c r="N420" s="223">
        <v>55.205082878200002</v>
      </c>
      <c r="O420" s="223">
        <v>45.334035121399999</v>
      </c>
      <c r="P420" s="185">
        <f>O420/C420-1</f>
        <v>1.2272834247382467</v>
      </c>
      <c r="R420" s="205">
        <v>39.372424399301003</v>
      </c>
    </row>
    <row r="421" spans="1:19">
      <c r="A421" s="190"/>
      <c r="B421" s="190"/>
      <c r="C421" s="190"/>
      <c r="D421" s="190"/>
      <c r="E421" s="190"/>
      <c r="F421" s="190"/>
      <c r="G421" s="190"/>
      <c r="H421" s="190"/>
      <c r="I421" s="190"/>
      <c r="J421" s="190"/>
      <c r="K421" s="190"/>
      <c r="L421" s="190"/>
      <c r="M421" s="190"/>
      <c r="N421" s="190"/>
      <c r="O421" s="190"/>
      <c r="P421" s="190"/>
      <c r="Q421" s="190"/>
      <c r="R421" s="190"/>
      <c r="S421" s="190"/>
    </row>
    <row r="422" spans="1:19">
      <c r="A422" s="218"/>
      <c r="B422" s="218"/>
      <c r="C422" s="218"/>
      <c r="D422" s="218"/>
      <c r="E422" s="218"/>
      <c r="F422" s="218"/>
      <c r="G422" s="218"/>
      <c r="H422" s="218"/>
      <c r="I422" s="218"/>
      <c r="J422" s="218"/>
      <c r="K422" s="218"/>
      <c r="L422" s="218"/>
      <c r="M422" s="218"/>
      <c r="N422" s="218"/>
      <c r="O422" s="218"/>
      <c r="P422" s="218"/>
      <c r="Q422" s="218"/>
      <c r="R422" s="218"/>
      <c r="S422" s="218"/>
    </row>
    <row r="423" spans="1:19">
      <c r="C423" s="202"/>
      <c r="D423" s="202"/>
      <c r="E423" s="202"/>
      <c r="F423" s="202"/>
      <c r="G423" s="202"/>
      <c r="H423" s="202"/>
      <c r="I423" s="202"/>
      <c r="J423" s="202"/>
      <c r="K423" s="202"/>
      <c r="L423" s="202"/>
      <c r="M423" s="202"/>
      <c r="N423" s="202"/>
      <c r="O423" s="202"/>
    </row>
    <row r="424" spans="1:19" s="130" customFormat="1" ht="15">
      <c r="B424" s="131" t="s">
        <v>142</v>
      </c>
      <c r="C424" s="132"/>
      <c r="D424" s="132"/>
      <c r="E424" s="132"/>
      <c r="F424" s="132"/>
      <c r="G424" s="132"/>
      <c r="H424" s="132"/>
      <c r="I424" s="132"/>
      <c r="J424" s="132"/>
    </row>
    <row r="425" spans="1:19" ht="33.75">
      <c r="A425" s="181"/>
      <c r="B425" s="181"/>
      <c r="C425" s="182" t="s">
        <v>19</v>
      </c>
      <c r="D425" s="182" t="s">
        <v>38</v>
      </c>
      <c r="E425" s="182" t="s">
        <v>39</v>
      </c>
      <c r="F425" s="182" t="s">
        <v>40</v>
      </c>
      <c r="G425" s="182" t="s">
        <v>23</v>
      </c>
      <c r="H425" s="182" t="s">
        <v>242</v>
      </c>
      <c r="I425" s="182" t="s">
        <v>41</v>
      </c>
      <c r="J425" s="182" t="s">
        <v>42</v>
      </c>
      <c r="K425" s="182" t="s">
        <v>241</v>
      </c>
      <c r="L425" s="130"/>
    </row>
    <row r="426" spans="1:19" ht="14.25">
      <c r="A426" s="176" t="s">
        <v>5</v>
      </c>
      <c r="B426" s="16" t="s">
        <v>264</v>
      </c>
      <c r="C426" s="48">
        <v>54.077060931899638</v>
      </c>
      <c r="D426" s="48">
        <v>8.1093189964157713</v>
      </c>
      <c r="E426" s="48">
        <v>0</v>
      </c>
      <c r="F426" s="48">
        <v>0</v>
      </c>
      <c r="G426" s="48">
        <v>9.6998207885304648</v>
      </c>
      <c r="H426" s="48">
        <v>0</v>
      </c>
      <c r="I426" s="48">
        <v>0</v>
      </c>
      <c r="J426" s="48">
        <v>28.113799283154123</v>
      </c>
      <c r="K426" s="51">
        <v>0</v>
      </c>
      <c r="L426" s="130"/>
    </row>
    <row r="427" spans="1:19" ht="14.25">
      <c r="A427" s="176" t="s">
        <v>6</v>
      </c>
      <c r="B427" s="16" t="s">
        <v>266</v>
      </c>
      <c r="C427" s="48">
        <v>45.21072796934866</v>
      </c>
      <c r="D427" s="48">
        <v>12.5</v>
      </c>
      <c r="E427" s="48">
        <v>0</v>
      </c>
      <c r="F427" s="48">
        <v>0</v>
      </c>
      <c r="G427" s="48">
        <v>3.5201149425287355</v>
      </c>
      <c r="H427" s="48">
        <v>1.8199233716475096</v>
      </c>
      <c r="I427" s="48">
        <v>0</v>
      </c>
      <c r="J427" s="48">
        <v>36.949233716475099</v>
      </c>
      <c r="K427" s="51">
        <v>0</v>
      </c>
      <c r="L427" s="130"/>
    </row>
    <row r="428" spans="1:19" ht="14.25">
      <c r="A428" s="176" t="s">
        <v>7</v>
      </c>
      <c r="B428" s="16" t="s">
        <v>269</v>
      </c>
      <c r="C428" s="48">
        <v>37.826379542395713</v>
      </c>
      <c r="D428" s="48">
        <v>10.235531628532973</v>
      </c>
      <c r="E428" s="48">
        <v>0</v>
      </c>
      <c r="F428" s="48">
        <v>0.26917900403768508</v>
      </c>
      <c r="G428" s="48">
        <v>3.9434724091520863</v>
      </c>
      <c r="H428" s="48">
        <v>8.5980260206370556</v>
      </c>
      <c r="I428" s="48">
        <v>0</v>
      </c>
      <c r="J428" s="48">
        <v>39.127411395244494</v>
      </c>
      <c r="K428" s="51">
        <v>0</v>
      </c>
      <c r="L428" s="130"/>
    </row>
    <row r="429" spans="1:19" ht="14.25">
      <c r="A429" s="176" t="s">
        <v>8</v>
      </c>
      <c r="B429" s="16" t="s">
        <v>275</v>
      </c>
      <c r="C429" s="48">
        <v>37.226851851851862</v>
      </c>
      <c r="D429" s="48">
        <v>6.7523148148148149</v>
      </c>
      <c r="E429" s="48">
        <v>0</v>
      </c>
      <c r="F429" s="48">
        <v>0.41666666666666669</v>
      </c>
      <c r="G429" s="48">
        <v>1.6689814814814814</v>
      </c>
      <c r="H429" s="48">
        <v>10.990740740740742</v>
      </c>
      <c r="I429" s="48">
        <v>0</v>
      </c>
      <c r="J429" s="48">
        <v>42.944444444444436</v>
      </c>
      <c r="K429" s="51">
        <v>0</v>
      </c>
      <c r="L429" s="130"/>
    </row>
    <row r="430" spans="1:19" ht="14.25">
      <c r="A430" s="176" t="s">
        <v>7</v>
      </c>
      <c r="B430" s="16" t="s">
        <v>277</v>
      </c>
      <c r="C430" s="48">
        <v>35.629480286738342</v>
      </c>
      <c r="D430" s="48">
        <v>12.107974910394265</v>
      </c>
      <c r="E430" s="48">
        <v>0</v>
      </c>
      <c r="F430" s="48">
        <v>0</v>
      </c>
      <c r="G430" s="48">
        <v>0.53763440860215062</v>
      </c>
      <c r="H430" s="48">
        <v>12.354390681003583</v>
      </c>
      <c r="I430" s="48">
        <v>0</v>
      </c>
      <c r="J430" s="48">
        <v>39.370519713261658</v>
      </c>
      <c r="K430" s="51">
        <v>0</v>
      </c>
      <c r="L430" s="130"/>
    </row>
    <row r="431" spans="1:19" ht="14.25">
      <c r="A431" s="176" t="s">
        <v>9</v>
      </c>
      <c r="B431" s="16" t="s">
        <v>279</v>
      </c>
      <c r="C431" s="48">
        <v>40.451388888888886</v>
      </c>
      <c r="D431" s="48">
        <v>10.266203703703702</v>
      </c>
      <c r="E431" s="48">
        <v>0</v>
      </c>
      <c r="F431" s="48">
        <v>0</v>
      </c>
      <c r="G431" s="48">
        <v>1.5972222222222221</v>
      </c>
      <c r="H431" s="48">
        <v>12.07175925925926</v>
      </c>
      <c r="I431" s="48">
        <v>0.34722222222222221</v>
      </c>
      <c r="J431" s="48">
        <v>35.266203703703709</v>
      </c>
      <c r="K431" s="51">
        <v>0</v>
      </c>
      <c r="L431" s="130"/>
    </row>
    <row r="432" spans="1:19" ht="14.25">
      <c r="A432" s="176" t="s">
        <v>9</v>
      </c>
      <c r="B432" s="16" t="s">
        <v>281</v>
      </c>
      <c r="C432" s="48">
        <v>42.697132616487465</v>
      </c>
      <c r="D432" s="48">
        <v>10.103046594982077</v>
      </c>
      <c r="E432" s="48">
        <v>0</v>
      </c>
      <c r="F432" s="48">
        <v>0</v>
      </c>
      <c r="G432" s="48">
        <v>7.795698924731183</v>
      </c>
      <c r="H432" s="48">
        <v>1.3440860215053763</v>
      </c>
      <c r="I432" s="48">
        <v>0.13440860215053765</v>
      </c>
      <c r="J432" s="48">
        <v>37.925627240143363</v>
      </c>
      <c r="K432" s="51">
        <v>0</v>
      </c>
      <c r="L432" s="130"/>
    </row>
    <row r="433" spans="1:12" ht="14.25">
      <c r="A433" s="176" t="s">
        <v>8</v>
      </c>
      <c r="B433" s="16" t="s">
        <v>283</v>
      </c>
      <c r="C433" s="48">
        <v>42.585125448028677</v>
      </c>
      <c r="D433" s="48">
        <v>9.8790322580645178</v>
      </c>
      <c r="E433" s="48">
        <v>0</v>
      </c>
      <c r="F433" s="48">
        <v>0</v>
      </c>
      <c r="G433" s="48">
        <v>7.5940860215053752</v>
      </c>
      <c r="H433" s="48">
        <v>0</v>
      </c>
      <c r="I433" s="48">
        <v>0</v>
      </c>
      <c r="J433" s="48">
        <v>39.941756272401435</v>
      </c>
      <c r="K433" s="51">
        <v>0</v>
      </c>
      <c r="L433" s="130"/>
    </row>
    <row r="434" spans="1:12" ht="14.25">
      <c r="A434" s="176" t="s">
        <v>10</v>
      </c>
      <c r="B434" s="16" t="s">
        <v>290</v>
      </c>
      <c r="C434" s="48">
        <v>38.217592592592595</v>
      </c>
      <c r="D434" s="48">
        <v>10.532407407407408</v>
      </c>
      <c r="E434" s="48">
        <v>0</v>
      </c>
      <c r="F434" s="48">
        <v>0</v>
      </c>
      <c r="G434" s="48">
        <v>6.5972222222222223</v>
      </c>
      <c r="H434" s="48">
        <v>0</v>
      </c>
      <c r="I434" s="48">
        <v>0.55555555555555558</v>
      </c>
      <c r="J434" s="48">
        <v>44.097222222222221</v>
      </c>
      <c r="K434" s="51">
        <v>0</v>
      </c>
      <c r="L434" s="130"/>
    </row>
    <row r="435" spans="1:12" ht="14.25">
      <c r="A435" s="176" t="s">
        <v>11</v>
      </c>
      <c r="B435" s="16" t="s">
        <v>292</v>
      </c>
      <c r="C435" s="48">
        <v>45.094086021505383</v>
      </c>
      <c r="D435" s="48">
        <v>7.39247311827957</v>
      </c>
      <c r="E435" s="48">
        <v>0</v>
      </c>
      <c r="F435" s="48">
        <v>0</v>
      </c>
      <c r="G435" s="48">
        <v>3.1586021505376345</v>
      </c>
      <c r="H435" s="48">
        <v>0</v>
      </c>
      <c r="I435" s="48">
        <v>0.51523297491039421</v>
      </c>
      <c r="J435" s="48">
        <v>43.839605734767019</v>
      </c>
      <c r="K435" s="51">
        <v>0</v>
      </c>
      <c r="L435" s="130"/>
    </row>
    <row r="436" spans="1:12" ht="14.25">
      <c r="A436" s="176" t="s">
        <v>12</v>
      </c>
      <c r="B436" s="16" t="s">
        <v>293</v>
      </c>
      <c r="C436" s="48">
        <v>50.069444444444457</v>
      </c>
      <c r="D436" s="48">
        <v>6.8518518518518503</v>
      </c>
      <c r="E436" s="48">
        <v>0</v>
      </c>
      <c r="F436" s="48">
        <v>0</v>
      </c>
      <c r="G436" s="48">
        <v>10.509259259259258</v>
      </c>
      <c r="H436" s="48">
        <v>0.69444444444444442</v>
      </c>
      <c r="I436" s="48">
        <v>0.20833333333333334</v>
      </c>
      <c r="J436" s="48">
        <v>31.666666666666664</v>
      </c>
      <c r="K436" s="51">
        <v>0</v>
      </c>
      <c r="L436" s="130"/>
    </row>
    <row r="437" spans="1:12" ht="14.25">
      <c r="A437" s="176" t="s">
        <v>13</v>
      </c>
      <c r="B437" s="16" t="s">
        <v>298</v>
      </c>
      <c r="C437" s="48">
        <v>45.071684587813621</v>
      </c>
      <c r="D437" s="48">
        <v>5.7571684587813623</v>
      </c>
      <c r="E437" s="48">
        <v>0</v>
      </c>
      <c r="F437" s="48">
        <v>0</v>
      </c>
      <c r="G437" s="48">
        <v>17.607526881720432</v>
      </c>
      <c r="H437" s="48">
        <v>0.33602150537634407</v>
      </c>
      <c r="I437" s="48">
        <v>1.0080645161290323</v>
      </c>
      <c r="J437" s="48">
        <v>30.219534050179213</v>
      </c>
      <c r="K437" s="51">
        <v>0</v>
      </c>
      <c r="L437" s="130"/>
    </row>
    <row r="438" spans="1:12" ht="14.25">
      <c r="A438" s="177" t="s">
        <v>5</v>
      </c>
      <c r="B438" s="49" t="s">
        <v>344</v>
      </c>
      <c r="C438" s="50">
        <v>46.684587813620077</v>
      </c>
      <c r="D438" s="50">
        <v>8.5797491039426514</v>
      </c>
      <c r="E438" s="50">
        <v>0</v>
      </c>
      <c r="F438" s="50">
        <v>0.13440860215053765</v>
      </c>
      <c r="G438" s="50">
        <v>9.341397849462366</v>
      </c>
      <c r="H438" s="50">
        <v>0.67204301075268824</v>
      </c>
      <c r="I438" s="50">
        <v>0.26881720430107531</v>
      </c>
      <c r="J438" s="50">
        <v>34.318996415770606</v>
      </c>
      <c r="K438" s="50">
        <v>0</v>
      </c>
      <c r="L438" s="130"/>
    </row>
    <row r="439" spans="1:12">
      <c r="C439" s="196">
        <f>OMIE!BD38</f>
        <v>46.684587813620077</v>
      </c>
      <c r="D439" s="196">
        <f>OMIE!BE38</f>
        <v>8.5797491039426514</v>
      </c>
      <c r="E439" s="196">
        <f>OMIE!BF38</f>
        <v>0</v>
      </c>
      <c r="F439" s="196">
        <f>OMIE!BG38</f>
        <v>0.13440860215053765</v>
      </c>
      <c r="G439" s="196">
        <f>OMIE!BH38</f>
        <v>9.341397849462366</v>
      </c>
      <c r="H439" s="196">
        <f>OMIE!BI38</f>
        <v>0.40322580645161288</v>
      </c>
      <c r="I439" s="196">
        <f>OMIE!BJ38</f>
        <v>0.26881720430107531</v>
      </c>
      <c r="J439" s="196">
        <f>OMIE!BK38</f>
        <v>34.318996415770606</v>
      </c>
      <c r="K439" s="196">
        <f>OMIE!BL38</f>
        <v>0</v>
      </c>
      <c r="L439" s="196">
        <f>OMIE!BN38</f>
        <v>0.26881720430107531</v>
      </c>
    </row>
    <row r="440" spans="1:12">
      <c r="H440" s="202">
        <f>H439+L439</f>
        <v>0.67204301075268824</v>
      </c>
    </row>
    <row r="441" spans="1:12">
      <c r="H441" s="202"/>
    </row>
    <row r="451" spans="1:14">
      <c r="A451" s="110" t="s">
        <v>67</v>
      </c>
      <c r="B451" s="89"/>
      <c r="C451" s="89"/>
      <c r="D451" s="89"/>
      <c r="E451" s="89"/>
      <c r="F451" s="89"/>
      <c r="G451" s="89"/>
      <c r="H451" s="89"/>
      <c r="I451" s="89"/>
      <c r="N451" s="166"/>
    </row>
    <row r="452" spans="1:14">
      <c r="A452" s="14"/>
      <c r="B452" s="249" t="s">
        <v>1</v>
      </c>
      <c r="C452" s="249" t="s">
        <v>2</v>
      </c>
      <c r="D452" s="249" t="s">
        <v>25</v>
      </c>
      <c r="E452" s="249" t="s">
        <v>16</v>
      </c>
      <c r="F452" s="249" t="s">
        <v>17</v>
      </c>
      <c r="G452" s="249" t="s">
        <v>233</v>
      </c>
      <c r="H452" s="249" t="s">
        <v>26</v>
      </c>
      <c r="I452" s="249" t="s">
        <v>29</v>
      </c>
      <c r="J452" s="253" t="s">
        <v>124</v>
      </c>
    </row>
    <row r="453" spans="1:14">
      <c r="A453" s="15"/>
      <c r="B453" s="250"/>
      <c r="C453" s="250"/>
      <c r="D453" s="250"/>
      <c r="E453" s="250"/>
      <c r="F453" s="250"/>
      <c r="G453" s="250"/>
      <c r="H453" s="250"/>
      <c r="I453" s="250"/>
      <c r="J453" s="254"/>
    </row>
    <row r="454" spans="1:14">
      <c r="A454" s="111" t="str">
        <f>MID(B43,6,3) &amp; "-" &amp; MID(B43,3,2)</f>
        <v>Ene-24</v>
      </c>
      <c r="B454" s="109">
        <f>VLOOKUP("Mercado Diario",$A$45:$N$65,2,FALSE)</f>
        <v>76.87</v>
      </c>
      <c r="C454" s="109">
        <f>VLOOKUP("Mercado Intradiario",$A$45:$N$65,2,FALSE)</f>
        <v>-0.08</v>
      </c>
      <c r="D454" s="109">
        <f t="shared" ref="D454:D466" si="14">SUM(B454:C454)</f>
        <v>76.790000000000006</v>
      </c>
      <c r="E454" s="109">
        <f>SUM(B82:B90)</f>
        <v>8.4899999999999984</v>
      </c>
      <c r="F454" s="109">
        <f>VLOOKUP("Pago capacidad",$A$45:$N$65,2,FALSE)</f>
        <v>0.35</v>
      </c>
      <c r="G454" s="109">
        <f>VLOOKUP("Mecanismo Ajuste RD-L10/2022 Coste OM",$A$45:$N$65,2,FALSE)+VLOOKUP("Mecanismo Ajuste RD-L10/2022 Coste OS",$A$45:$N$65,2,FALSE)+VLOOKUP("Mecanismo Ajuste RD-L10/2022 Ajuste OS",$A$45:$N$65,2,FALSE)</f>
        <v>0</v>
      </c>
      <c r="H454" s="109">
        <f t="shared" ref="H454:H466" si="15">SUM(D454:G454)</f>
        <v>85.63</v>
      </c>
      <c r="I454" s="96">
        <f>VLOOKUP("Energía final MWh",$A$45:$N$61,2,FALSE)/1000</f>
        <v>21055.819800999998</v>
      </c>
      <c r="J454" s="114" t="str">
        <f t="shared" ref="J454:J466" si="16">MID(A454,1,1)</f>
        <v>E</v>
      </c>
      <c r="K454" s="202"/>
    </row>
    <row r="455" spans="1:14">
      <c r="A455" s="111" t="str">
        <f>MID(C43,6,3) &amp; "-" &amp; MID(C43,3,2)</f>
        <v>Feb-24</v>
      </c>
      <c r="B455" s="109">
        <f>VLOOKUP("Mercado Diario",$A$45:$N$65,3,FALSE)</f>
        <v>40.773000000000003</v>
      </c>
      <c r="C455" s="109">
        <f>VLOOKUP("Mercado Intradiario",$A$45:$N$65,3,FALSE)</f>
        <v>-0.09</v>
      </c>
      <c r="D455" s="109">
        <f t="shared" si="14"/>
        <v>40.683</v>
      </c>
      <c r="E455" s="109">
        <f>SUM(C82:C90)</f>
        <v>9.3930000000000007</v>
      </c>
      <c r="F455" s="109">
        <f>VLOOKUP("Pago capacidad",$A$45:$N$65,3,FALSE)</f>
        <v>0.33</v>
      </c>
      <c r="G455" s="109">
        <f>VLOOKUP("Mecanismo Ajuste RD-L10/2022 Coste OM",$A$45:$N$65,3,FALSE)+VLOOKUP("Mecanismo Ajuste RD-L10/2022 Coste OS",$A$45:$N$65,3,FALSE)+VLOOKUP("Mecanismo Ajuste RD-L10/2022 Ajuste OS",$A$45:$N$65,3,FALSE)</f>
        <v>0</v>
      </c>
      <c r="H455" s="109">
        <f t="shared" si="15"/>
        <v>50.405999999999999</v>
      </c>
      <c r="I455" s="96">
        <f>VLOOKUP("Energía final MWh",$A$45:$N$61,3,FALSE)/1000</f>
        <v>19159.503210000003</v>
      </c>
      <c r="J455" s="114" t="str">
        <f t="shared" si="16"/>
        <v>F</v>
      </c>
      <c r="K455" s="202"/>
    </row>
    <row r="456" spans="1:14">
      <c r="A456" s="111" t="str">
        <f>MID(D43,6,3) &amp; "-" &amp; MID(D43,3,2)</f>
        <v>Mar-24</v>
      </c>
      <c r="B456" s="109">
        <f>VLOOKUP("Mercado Diario",$A$45:$N$65,4,FALSE)</f>
        <v>21.36</v>
      </c>
      <c r="C456" s="109">
        <f>VLOOKUP("Mercado Intradiario",$A$45:$N$65,4,FALSE)</f>
        <v>-0.05</v>
      </c>
      <c r="D456" s="109">
        <f t="shared" si="14"/>
        <v>21.31</v>
      </c>
      <c r="E456" s="109">
        <f>SUM(D82:D90)</f>
        <v>12.64</v>
      </c>
      <c r="F456" s="109">
        <f>VLOOKUP("Pago capacidad",$A$45:$N$65,4,FALSE)</f>
        <v>0.19</v>
      </c>
      <c r="G456" s="109">
        <f>VLOOKUP("Mecanismo Ajuste RD-L10/2022 Coste OM",$A$45:$N$65,4,FALSE)+VLOOKUP("Mecanismo Ajuste RD-L10/2022 Coste OS",$A$45:$N$65,4,FALSE)+VLOOKUP("Mecanismo Ajuste RD-L10/2022 Ajuste OS",$A$45:$N$65,4,FALSE)</f>
        <v>0</v>
      </c>
      <c r="H456" s="109">
        <f t="shared" si="15"/>
        <v>34.14</v>
      </c>
      <c r="I456" s="96">
        <f>VLOOKUP("Energía final MWh",$A$45:$N$61,4,FALSE)/1000</f>
        <v>19517.614956000001</v>
      </c>
      <c r="J456" s="114" t="str">
        <f t="shared" si="16"/>
        <v>M</v>
      </c>
    </row>
    <row r="457" spans="1:14">
      <c r="A457" s="111" t="str">
        <f>MID(E43,6,3) &amp; "-" &amp; MID(E43,3,2)</f>
        <v>Abr-24</v>
      </c>
      <c r="B457" s="109">
        <f>VLOOKUP("Mercado Diario",$A$45:$N$65,5,FALSE)</f>
        <v>14.103999999999999</v>
      </c>
      <c r="C457" s="109">
        <f>VLOOKUP("Mercado Intradiario",$A$45:$N$65,5,FALSE)</f>
        <v>-0.13</v>
      </c>
      <c r="D457" s="109">
        <f t="shared" si="14"/>
        <v>13.973999999999998</v>
      </c>
      <c r="E457" s="109">
        <f>SUM(E82:E90)</f>
        <v>17.049999999999997</v>
      </c>
      <c r="F457" s="109">
        <f>VLOOKUP("Pago capacidad",$A$45:$N$65,5,FALSE)</f>
        <v>0.16</v>
      </c>
      <c r="G457" s="109">
        <f>VLOOKUP("Mecanismo Ajuste RD-L10/2022 Coste OM",$A$45:$N$65,5,FALSE)+VLOOKUP("Mecanismo Ajuste RD-L10/2022 Coste OS",$A$45:$N$65,5,FALSE)+VLOOKUP("Mecanismo Ajuste RD-L10/2022 Ajuste OS",$A$45:$N$65,5,FALSE)</f>
        <v>0</v>
      </c>
      <c r="H457" s="109">
        <f t="shared" si="15"/>
        <v>31.183999999999994</v>
      </c>
      <c r="I457" s="96">
        <f>VLOOKUP("Energía final MWh",$A$45:$N$61,5,FALSE)/1000</f>
        <v>18198.375332</v>
      </c>
      <c r="J457" s="114" t="str">
        <f t="shared" si="16"/>
        <v>A</v>
      </c>
    </row>
    <row r="458" spans="1:14">
      <c r="A458" s="111" t="str">
        <f>MID(F43,6,3) &amp; "-" &amp; MID(F43,3,2)</f>
        <v>May-24</v>
      </c>
      <c r="B458" s="109">
        <f>VLOOKUP("Mercado Diario",$A$45:$N$65,6,FALSE)</f>
        <v>30.14</v>
      </c>
      <c r="C458" s="109">
        <f>VLOOKUP("Mercado Intradiario",$A$45:$N$65,6,FALSE)</f>
        <v>-0.06</v>
      </c>
      <c r="D458" s="109">
        <f t="shared" si="14"/>
        <v>30.080000000000002</v>
      </c>
      <c r="E458" s="109">
        <f>SUM(F82:F90)</f>
        <v>14.17</v>
      </c>
      <c r="F458" s="109">
        <f>VLOOKUP("Pago capacidad",$A$45:$N$65,6,FALSE)</f>
        <v>0.15</v>
      </c>
      <c r="G458" s="109">
        <f>VLOOKUP("Mecanismo Ajuste RD-L10/2022 Coste OM",$A$45:$N$65,6,FALSE)+VLOOKUP("Mecanismo Ajuste RD-L10/2022 Coste OS",$A$45:$N$65,6,FALSE)+VLOOKUP("Mecanismo Ajuste RD-L10/2022 Ajuste OS",$A$45:$N$65,6,FALSE)</f>
        <v>0</v>
      </c>
      <c r="H458" s="109">
        <f t="shared" si="15"/>
        <v>44.4</v>
      </c>
      <c r="I458" s="96">
        <f>VLOOKUP("Energía final MWh",$A$45:$N$61,6,FALSE)/1000</f>
        <v>18482.721998000001</v>
      </c>
      <c r="J458" s="114" t="str">
        <f t="shared" si="16"/>
        <v>M</v>
      </c>
    </row>
    <row r="459" spans="1:14">
      <c r="A459" s="111" t="str">
        <f>MID(G43,6,3) &amp; "-" &amp; MID(G43,3,2)</f>
        <v>Jun-24</v>
      </c>
      <c r="B459" s="109">
        <f>VLOOKUP("Mercado Diario",$A$45:$N$65,7,FALSE)</f>
        <v>56.84</v>
      </c>
      <c r="C459" s="109">
        <f>VLOOKUP("Mercado Intradiario",$A$45:$N$65,7,FALSE)</f>
        <v>-0.11</v>
      </c>
      <c r="D459" s="109">
        <f t="shared" si="14"/>
        <v>56.730000000000004</v>
      </c>
      <c r="E459" s="109">
        <f>SUM(G82:G90)</f>
        <v>11.4</v>
      </c>
      <c r="F459" s="109">
        <f>VLOOKUP("Pago capacidad",$A$45:$N$65,7,FALSE)</f>
        <v>0.15</v>
      </c>
      <c r="G459" s="109">
        <f>VLOOKUP("Mecanismo Ajuste RD-L10/2022 Coste OM",$A$45:$N$65,7,FALSE)+VLOOKUP("Mecanismo Ajuste RD-L10/2022 Coste OS",$A$45:$N$65,7,FALSE)+VLOOKUP("Mecanismo Ajuste RD-L10/2022 Ajuste OS",$A$45:$N$65,7,FALSE)</f>
        <v>0</v>
      </c>
      <c r="H459" s="109">
        <f t="shared" si="15"/>
        <v>68.280000000000015</v>
      </c>
      <c r="I459" s="96">
        <f>VLOOKUP("Energía final MWh",$A$45:$N$61,7,FALSE)/1000</f>
        <v>18500.106291</v>
      </c>
      <c r="J459" s="114" t="str">
        <f t="shared" si="16"/>
        <v>J</v>
      </c>
    </row>
    <row r="460" spans="1:14">
      <c r="A460" s="111" t="str">
        <f>MID(H43,6,3) &amp; "-" &amp; MID(H43,3,2)</f>
        <v>Jul-24</v>
      </c>
      <c r="B460" s="109">
        <f>VLOOKUP("Mercado Diario",$A$45:$N$65,8,FALSE)</f>
        <v>72.64</v>
      </c>
      <c r="C460" s="109">
        <f>VLOOKUP("Mercado Intradiario",$A$45:$N$65,8,FALSE)</f>
        <v>-7.0000000000000007E-2</v>
      </c>
      <c r="D460" s="109">
        <f t="shared" si="14"/>
        <v>72.570000000000007</v>
      </c>
      <c r="E460" s="109">
        <f>SUM(H82:H90)</f>
        <v>8.168000000000001</v>
      </c>
      <c r="F460" s="109">
        <f>VLOOKUP("Pago capacidad",$A$45:$N$65,8,FALSE)</f>
        <v>0.31</v>
      </c>
      <c r="G460" s="109">
        <f>VLOOKUP("Mecanismo Ajuste RD-L10/2022 Coste OM",$A$45:$N$65,8,FALSE)+VLOOKUP("Mecanismo Ajuste RD-L10/2022 Coste OS",$A$45:$N$65,8,FALSE)+VLOOKUP("Mecanismo Ajuste RD-L10/2022 Ajuste OS",$A$45:$N$65,8,FALSE)</f>
        <v>0</v>
      </c>
      <c r="H460" s="109">
        <f t="shared" si="15"/>
        <v>81.048000000000016</v>
      </c>
      <c r="I460" s="96">
        <f>VLOOKUP("Energía final MWh",$A$45:$N$61,8,FALSE)/1000</f>
        <v>21346.708354999999</v>
      </c>
      <c r="J460" s="114" t="str">
        <f t="shared" si="16"/>
        <v>J</v>
      </c>
    </row>
    <row r="461" spans="1:14">
      <c r="A461" s="111" t="str">
        <f>MID(I43,6,3) &amp; "-" &amp; MID(I43,3,2)</f>
        <v>Ago-24</v>
      </c>
      <c r="B461" s="109">
        <f>VLOOKUP("Mercado Diario",$A$45:$N$65,9,FALSE)</f>
        <v>91.34</v>
      </c>
      <c r="C461" s="109">
        <f>VLOOKUP("Mercado Intradiario",$A$45:$N$65,9,FALSE)</f>
        <v>-0.13</v>
      </c>
      <c r="D461" s="109">
        <f t="shared" si="14"/>
        <v>91.210000000000008</v>
      </c>
      <c r="E461" s="109">
        <f>SUM(I82:I90)</f>
        <v>8.7099999999999991</v>
      </c>
      <c r="F461" s="109">
        <f>VLOOKUP("Pago capacidad",$A$45:$N$65,9,FALSE)</f>
        <v>0.16</v>
      </c>
      <c r="G461" s="109">
        <f>VLOOKUP("Mecanismo Ajuste RD-L10/2022 Coste OM",$A$45:$N$65,9,FALSE)+VLOOKUP("Mecanismo Ajuste RD-L10/2022 Coste OS",$A$45:$N$65,9,FALSE)+VLOOKUP("Mecanismo Ajuste RD-L10/2022 Ajuste OS",$A$45:$N$65,9,FALSE)</f>
        <v>0</v>
      </c>
      <c r="H461" s="109">
        <f t="shared" si="15"/>
        <v>100.08</v>
      </c>
      <c r="I461" s="96">
        <f>VLOOKUP("Energía final MWh",$A$45:$N$61,9,FALSE)/1000</f>
        <v>20916.983252999999</v>
      </c>
      <c r="J461" s="114" t="str">
        <f t="shared" si="16"/>
        <v>A</v>
      </c>
    </row>
    <row r="462" spans="1:14">
      <c r="A462" s="111" t="str">
        <f>MID(J43,6,3) &amp; "-" &amp; MID(J43,3,2)</f>
        <v>Sep-24</v>
      </c>
      <c r="B462" s="109">
        <f>VLOOKUP("Mercado Diario",$A$45:$N$65,10,FALSE)</f>
        <v>72.92</v>
      </c>
      <c r="C462" s="109">
        <f>VLOOKUP("Mercado Intradiario",$A$45:$N$65,10,FALSE)</f>
        <v>-0.09</v>
      </c>
      <c r="D462" s="109">
        <f t="shared" si="14"/>
        <v>72.83</v>
      </c>
      <c r="E462" s="109">
        <f>SUM(J82:J90)</f>
        <v>10.870000000000001</v>
      </c>
      <c r="F462" s="109">
        <f>VLOOKUP("Pago capacidad",$A$45:$N$65,10,FALSE)</f>
        <v>0.16</v>
      </c>
      <c r="G462" s="109">
        <f>VLOOKUP("Mecanismo Ajuste RD-L10/2022 Coste OM",$A$45:$N$65,10,FALSE)+VLOOKUP("Mecanismo Ajuste RD-L10/2022 Coste OS",$A$45:$N$65,10,FALSE)+VLOOKUP("Mecanismo Ajuste RD-L10/2022 Ajuste OS",$A$45:$N$65,10,FALSE)</f>
        <v>0</v>
      </c>
      <c r="H462" s="109">
        <f t="shared" si="15"/>
        <v>83.86</v>
      </c>
      <c r="I462" s="96">
        <f>VLOOKUP("Energía final MWh",$A$45:$N$61,10,FALSE)/1000</f>
        <v>18653.778333999999</v>
      </c>
      <c r="J462" s="114" t="str">
        <f t="shared" si="16"/>
        <v>S</v>
      </c>
    </row>
    <row r="463" spans="1:14">
      <c r="A463" s="111" t="str">
        <f>MID(K43,6,3) &amp; "-" &amp; MID(K43,3,2)</f>
        <v>Oct-24</v>
      </c>
      <c r="B463" s="109">
        <f>VLOOKUP("Mercado Diario",$A$45:$N$65,11,FALSE)</f>
        <v>70.12</v>
      </c>
      <c r="C463" s="109">
        <f>VLOOKUP("Mercado Intradiario",$A$45:$N$65,11,FALSE)</f>
        <v>-7.0000000000000007E-2</v>
      </c>
      <c r="D463" s="109">
        <f t="shared" si="14"/>
        <v>70.050000000000011</v>
      </c>
      <c r="E463" s="109">
        <f>SUM(K82:K90)</f>
        <v>14.330000000000002</v>
      </c>
      <c r="F463" s="109">
        <f>VLOOKUP("Pago capacidad",$A$45:$N$65,11,FALSE)</f>
        <v>0.16</v>
      </c>
      <c r="G463" s="109">
        <f>VLOOKUP("Mecanismo Ajuste RD-L10/2022 Coste OM",$A$45:$N$65,11,FALSE)+VLOOKUP("Mecanismo Ajuste RD-L10/2022 Coste OS",$A$45:$N$65,11,FALSE)+VLOOKUP("Mecanismo Ajuste RD-L10/2022 Ajuste OS",$A$45:$N$65,11,FALSE)</f>
        <v>0</v>
      </c>
      <c r="H463" s="109">
        <f t="shared" si="15"/>
        <v>84.54</v>
      </c>
      <c r="I463" s="96">
        <f>VLOOKUP("Energía final MWh",$A$45:$N$61,11,FALSE)/1000</f>
        <v>19004.643151</v>
      </c>
      <c r="J463" s="114" t="str">
        <f t="shared" si="16"/>
        <v>O</v>
      </c>
    </row>
    <row r="464" spans="1:14">
      <c r="A464" s="111" t="str">
        <f>MID(L43,6,3) &amp; "-" &amp; MID(L43,3,2)</f>
        <v>Nov-24</v>
      </c>
      <c r="B464" s="109">
        <f>VLOOKUP("Mercado Diario",$A$45:$N$65,12,FALSE)</f>
        <v>106.74</v>
      </c>
      <c r="C464" s="109">
        <f>VLOOKUP("Mercado Intradiario",$A$45:$N$65,12,FALSE)</f>
        <v>-0.09</v>
      </c>
      <c r="D464" s="109">
        <f t="shared" si="14"/>
        <v>106.64999999999999</v>
      </c>
      <c r="E464" s="109">
        <f>SUM(L82:L90)</f>
        <v>12.036000000000001</v>
      </c>
      <c r="F464" s="109">
        <f>VLOOKUP("Pago capacidad",$A$45:$N$65,12,FALSE)</f>
        <v>0.19</v>
      </c>
      <c r="G464" s="109">
        <f>VLOOKUP("Mecanismo Ajuste RD-L10/2022 Coste OM",$A$45:$N$65,12,FALSE)+VLOOKUP("Mecanismo Ajuste RD-L10/2022 Coste OS",$A$45:$N$65,12,FALSE)+VLOOKUP("Mecanismo Ajuste RD-L10/2022 Ajuste OS",$A$45:$N$65,12,FALSE)</f>
        <v>0</v>
      </c>
      <c r="H464" s="109">
        <f t="shared" si="15"/>
        <v>118.87599999999999</v>
      </c>
      <c r="I464" s="96">
        <f>VLOOKUP("Energía final MWh",$A$45:$N$61,12,FALSE)/1000</f>
        <v>18627.463752</v>
      </c>
      <c r="J464" s="114" t="str">
        <f t="shared" si="16"/>
        <v>N</v>
      </c>
    </row>
    <row r="465" spans="1:15">
      <c r="A465" s="111" t="str">
        <f>MID(M43,6,3) &amp; "-" &amp; MID(M43,3,2)</f>
        <v>Dic-24</v>
      </c>
      <c r="B465" s="109">
        <f>VLOOKUP("Mercado Diario",$A$45:$N$65,13,FALSE)</f>
        <v>114.24</v>
      </c>
      <c r="C465" s="109">
        <f>VLOOKUP("Mercado Intradiario",$A$45:$N$65,13,FALSE)</f>
        <v>-0.08</v>
      </c>
      <c r="D465" s="109">
        <f t="shared" si="14"/>
        <v>114.16</v>
      </c>
      <c r="E465" s="109">
        <f>SUM(M82:M90)</f>
        <v>10.780000000000001</v>
      </c>
      <c r="F465" s="109">
        <f>VLOOKUP("Pago capacidad",$A$45:$N$65,13,FALSE)</f>
        <v>0.28000000000000003</v>
      </c>
      <c r="G465" s="109"/>
      <c r="H465" s="109">
        <f t="shared" si="15"/>
        <v>125.22</v>
      </c>
      <c r="I465" s="96">
        <f>VLOOKUP("Energía final MWh",$A$45:$N$61,13,FALSE)/1000</f>
        <v>20123.988956999998</v>
      </c>
      <c r="J465" s="114" t="str">
        <f t="shared" si="16"/>
        <v>D</v>
      </c>
      <c r="K465" s="148"/>
      <c r="N465" t="s">
        <v>234</v>
      </c>
    </row>
    <row r="466" spans="1:15">
      <c r="A466" s="112" t="str">
        <f>MID(N43,6,3) &amp; "-" &amp; MID(N43,3,2)</f>
        <v>Ene-25</v>
      </c>
      <c r="B466" s="108">
        <f>VLOOKUP("Mercado Diario",$A$45:$N$65,14,FALSE)</f>
        <v>100.46</v>
      </c>
      <c r="C466" s="108">
        <f>VLOOKUP("Mercado Intradiario",$A$45:$N$65,14,FALSE)</f>
        <v>-0.1</v>
      </c>
      <c r="D466" s="108">
        <f t="shared" si="14"/>
        <v>100.36</v>
      </c>
      <c r="E466" s="108">
        <f>SUM(N82:N90)</f>
        <v>11.41</v>
      </c>
      <c r="F466" s="108">
        <f>VLOOKUP("Pago capacidad",$A$45:$N$65,14,FALSE)</f>
        <v>0.26</v>
      </c>
      <c r="G466" s="108"/>
      <c r="H466" s="108">
        <f t="shared" si="15"/>
        <v>112.03</v>
      </c>
      <c r="I466" s="113">
        <f>VLOOKUP("Energía final MWh",$A$45:$N$61,14,FALSE)/1000</f>
        <v>21468.624427000002</v>
      </c>
      <c r="J466" s="115" t="str">
        <f t="shared" si="16"/>
        <v>E</v>
      </c>
      <c r="K466" s="53">
        <f>(H466/H465-1)*100</f>
        <v>-10.533461108449128</v>
      </c>
      <c r="L466" s="53">
        <f>(H466/H454-1)*100</f>
        <v>30.830316477869914</v>
      </c>
      <c r="M466" s="53">
        <f>H466/H454</f>
        <v>1.3083031647786991</v>
      </c>
      <c r="N466" s="166">
        <f>E466/H466</f>
        <v>0.10184771936088548</v>
      </c>
    </row>
    <row r="467" spans="1:15">
      <c r="D467" s="166"/>
      <c r="E467" s="166"/>
      <c r="F467" s="166"/>
      <c r="G467" s="166"/>
      <c r="H467" s="166"/>
    </row>
    <row r="468" spans="1:15">
      <c r="D468" s="166"/>
      <c r="E468" s="210"/>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B327:B328"/>
    <mergeCell ref="A358:A375"/>
    <mergeCell ref="A340:A357"/>
    <mergeCell ref="C337:O337"/>
    <mergeCell ref="B329:B330"/>
    <mergeCell ref="A327:A330"/>
    <mergeCell ref="A403:A404"/>
    <mergeCell ref="C400:O400"/>
    <mergeCell ref="A417:A420"/>
    <mergeCell ref="A413:A416"/>
    <mergeCell ref="C410:O410"/>
    <mergeCell ref="A405:A406"/>
    <mergeCell ref="A323:A326"/>
    <mergeCell ref="D320:P320"/>
    <mergeCell ref="B4:AB4"/>
    <mergeCell ref="B5:AB5"/>
    <mergeCell ref="A261:A279"/>
    <mergeCell ref="A217:A235"/>
    <mergeCell ref="A198:A216"/>
    <mergeCell ref="A134:A153"/>
    <mergeCell ref="A154:A173"/>
    <mergeCell ref="A280:A298"/>
    <mergeCell ref="B325:B326"/>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188:N188"/>
    <mergeCell ref="C258:O258"/>
    <mergeCell ref="B323:B324"/>
  </mergeCells>
  <phoneticPr fontId="77"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F1" sqref="F1"/>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183</v>
      </c>
      <c r="B1" s="150"/>
      <c r="C1" s="150"/>
      <c r="D1" s="150"/>
      <c r="E1" s="150"/>
      <c r="F1" s="150"/>
      <c r="G1" s="150"/>
      <c r="H1" s="150"/>
      <c r="I1" s="150"/>
      <c r="J1" s="150"/>
      <c r="K1" s="150"/>
      <c r="L1" s="150"/>
      <c r="M1" s="150"/>
      <c r="N1" s="150"/>
      <c r="O1" s="150"/>
      <c r="P1" s="150"/>
      <c r="Q1" s="150"/>
      <c r="R1" s="150"/>
      <c r="S1" s="150"/>
      <c r="T1" s="150"/>
      <c r="U1" s="150"/>
      <c r="V1" s="150"/>
      <c r="W1" s="150"/>
      <c r="X1" s="150"/>
      <c r="Y1" s="150"/>
      <c r="AA1" s="272" t="s">
        <v>130</v>
      </c>
      <c r="AB1" s="272"/>
      <c r="AC1" s="272"/>
      <c r="AD1" s="272"/>
      <c r="AE1" s="272"/>
      <c r="AF1" s="272"/>
      <c r="AG1" s="272"/>
      <c r="AH1" s="272"/>
      <c r="AI1" s="272"/>
      <c r="AJ1" s="272"/>
    </row>
    <row r="2" spans="1:67" ht="18.75">
      <c r="A2" s="151" t="s">
        <v>184</v>
      </c>
      <c r="B2" s="150"/>
      <c r="C2" s="150"/>
      <c r="D2" s="150"/>
      <c r="E2" s="150"/>
      <c r="F2" s="150"/>
      <c r="G2" s="152" t="s">
        <v>185</v>
      </c>
      <c r="H2" s="150"/>
      <c r="I2" s="150"/>
      <c r="J2" s="150"/>
      <c r="K2" s="150"/>
      <c r="L2" s="150"/>
      <c r="M2" s="150"/>
      <c r="N2" s="150"/>
      <c r="O2" s="150"/>
      <c r="P2" s="150"/>
      <c r="Q2" s="150"/>
      <c r="R2" s="150"/>
      <c r="S2" s="150"/>
      <c r="T2" s="151" t="s">
        <v>184</v>
      </c>
      <c r="U2" s="150"/>
      <c r="V2" s="150"/>
      <c r="W2" s="150"/>
      <c r="X2" s="150"/>
      <c r="Y2" s="150"/>
      <c r="AA2" s="133" t="s">
        <v>131</v>
      </c>
      <c r="AB2" s="133" t="s">
        <v>132</v>
      </c>
      <c r="AC2" s="133" t="s">
        <v>133</v>
      </c>
      <c r="AD2" s="133" t="s">
        <v>134</v>
      </c>
      <c r="AE2" s="133" t="s">
        <v>135</v>
      </c>
      <c r="AF2" s="133" t="s">
        <v>136</v>
      </c>
      <c r="AG2" s="133" t="s">
        <v>137</v>
      </c>
      <c r="AH2" s="133" t="s">
        <v>138</v>
      </c>
      <c r="AI2" s="133" t="s">
        <v>139</v>
      </c>
      <c r="AJ2" s="133" t="s">
        <v>140</v>
      </c>
      <c r="AK2" s="120" t="s">
        <v>243</v>
      </c>
    </row>
    <row r="3" spans="1:67" ht="15">
      <c r="A3" s="151" t="s">
        <v>184</v>
      </c>
      <c r="B3" s="150"/>
      <c r="C3" s="150"/>
      <c r="D3" s="150"/>
      <c r="E3" s="150"/>
      <c r="F3" s="150"/>
      <c r="G3" s="153" t="s">
        <v>184</v>
      </c>
      <c r="H3" s="150"/>
      <c r="I3" s="150"/>
      <c r="J3" s="150"/>
      <c r="K3" s="150"/>
      <c r="L3" s="150"/>
      <c r="M3" s="150"/>
      <c r="N3" s="150"/>
      <c r="O3" s="150"/>
      <c r="P3" s="150"/>
      <c r="Q3" s="150"/>
      <c r="R3" s="150"/>
      <c r="S3" s="150"/>
      <c r="T3" s="154" t="s">
        <v>184</v>
      </c>
      <c r="U3" s="150"/>
      <c r="V3" s="150"/>
      <c r="W3" s="150"/>
      <c r="X3" s="150"/>
      <c r="Y3" s="150"/>
    </row>
    <row r="4" spans="1:67">
      <c r="A4" s="20" t="s">
        <v>240</v>
      </c>
      <c r="B4" s="20" t="s">
        <v>97</v>
      </c>
      <c r="C4" s="20" t="s">
        <v>98</v>
      </c>
      <c r="D4" s="20" t="s">
        <v>99</v>
      </c>
      <c r="E4" s="20" t="s">
        <v>100</v>
      </c>
      <c r="F4" s="20" t="s">
        <v>101</v>
      </c>
      <c r="G4" s="20" t="s">
        <v>102</v>
      </c>
      <c r="H4" s="20" t="s">
        <v>103</v>
      </c>
      <c r="I4" s="20" t="s">
        <v>104</v>
      </c>
      <c r="J4" s="20" t="s">
        <v>105</v>
      </c>
      <c r="K4" s="20" t="s">
        <v>106</v>
      </c>
      <c r="L4" s="20" t="s">
        <v>107</v>
      </c>
      <c r="M4" s="20" t="s">
        <v>108</v>
      </c>
      <c r="N4" s="20" t="s">
        <v>109</v>
      </c>
      <c r="O4" s="20" t="s">
        <v>110</v>
      </c>
      <c r="P4" s="20" t="s">
        <v>111</v>
      </c>
      <c r="Q4" s="20" t="s">
        <v>112</v>
      </c>
      <c r="R4" s="20" t="s">
        <v>113</v>
      </c>
      <c r="S4" s="20" t="s">
        <v>114</v>
      </c>
      <c r="T4" s="20" t="s">
        <v>115</v>
      </c>
      <c r="U4" s="20" t="s">
        <v>116</v>
      </c>
      <c r="V4" s="20" t="s">
        <v>117</v>
      </c>
      <c r="W4" s="20" t="s">
        <v>118</v>
      </c>
      <c r="X4" s="20" t="s">
        <v>119</v>
      </c>
      <c r="Y4" s="20" t="s">
        <v>120</v>
      </c>
      <c r="AA4" s="133" t="s">
        <v>97</v>
      </c>
      <c r="AB4" s="133" t="s">
        <v>98</v>
      </c>
      <c r="AC4" s="133" t="s">
        <v>99</v>
      </c>
      <c r="AD4" s="133" t="s">
        <v>100</v>
      </c>
      <c r="AE4" s="133" t="s">
        <v>101</v>
      </c>
      <c r="AF4" s="133" t="s">
        <v>102</v>
      </c>
      <c r="AG4" s="133" t="s">
        <v>103</v>
      </c>
      <c r="AH4" s="133" t="s">
        <v>104</v>
      </c>
      <c r="AI4" s="133" t="s">
        <v>105</v>
      </c>
      <c r="AJ4" s="133" t="s">
        <v>106</v>
      </c>
      <c r="AK4" s="133" t="s">
        <v>107</v>
      </c>
      <c r="AL4" s="133" t="s">
        <v>108</v>
      </c>
      <c r="AM4" s="133" t="s">
        <v>109</v>
      </c>
      <c r="AN4" s="133" t="s">
        <v>110</v>
      </c>
      <c r="AO4" s="133" t="s">
        <v>111</v>
      </c>
      <c r="AP4" s="133" t="s">
        <v>112</v>
      </c>
      <c r="AQ4" s="133" t="s">
        <v>113</v>
      </c>
      <c r="AR4" s="133" t="s">
        <v>114</v>
      </c>
      <c r="AS4" s="133" t="s">
        <v>115</v>
      </c>
      <c r="AT4" s="133" t="s">
        <v>116</v>
      </c>
      <c r="AU4" s="133" t="s">
        <v>117</v>
      </c>
      <c r="AV4" s="133" t="s">
        <v>118</v>
      </c>
      <c r="AW4" s="133" t="s">
        <v>119</v>
      </c>
      <c r="AX4" s="133" t="s">
        <v>120</v>
      </c>
    </row>
    <row r="5" spans="1:67" ht="22.5">
      <c r="A5" t="str">
        <f>[1]OMIE!A5</f>
        <v>01/01/25</v>
      </c>
      <c r="B5" t="str">
        <f>[1]OMIE!B5</f>
        <v>HI</v>
      </c>
      <c r="C5" t="str">
        <f>[1]OMIE!C5</f>
        <v>TCC</v>
      </c>
      <c r="D5" t="str">
        <f>[1]OMIE!D5</f>
        <v>HI</v>
      </c>
      <c r="E5" t="str">
        <f>[1]OMIE!E5</f>
        <v>HI</v>
      </c>
      <c r="F5" t="str">
        <f>[1]OMIE!F5</f>
        <v>HI</v>
      </c>
      <c r="G5" t="str">
        <f>[1]OMIE!G5</f>
        <v>HI</v>
      </c>
      <c r="H5" t="str">
        <f>[1]OMIE!H5</f>
        <v>HI</v>
      </c>
      <c r="I5" t="str">
        <f>[1]OMIE!I5</f>
        <v>HI</v>
      </c>
      <c r="J5" t="str">
        <f>[1]OMIE!J5</f>
        <v>HI</v>
      </c>
      <c r="K5" t="str">
        <f>[1]OMIE!K5</f>
        <v>RE</v>
      </c>
      <c r="L5" t="str">
        <f>[1]OMIE!L5</f>
        <v>RE</v>
      </c>
      <c r="M5" t="str">
        <f>[1]OMIE!M5</f>
        <v>RE</v>
      </c>
      <c r="N5" t="str">
        <f>[1]OMIE!N5</f>
        <v>HI</v>
      </c>
      <c r="O5" t="str">
        <f>[1]OMIE!O5</f>
        <v>RE</v>
      </c>
      <c r="P5" t="str">
        <f>[1]OMIE!P5</f>
        <v>HI
RE</v>
      </c>
      <c r="Q5" t="str">
        <f>[1]OMIE!Q5</f>
        <v>RE</v>
      </c>
      <c r="R5" t="str">
        <f>[1]OMIE!R5</f>
        <v>RE</v>
      </c>
      <c r="S5" t="str">
        <f>[1]OMIE!S5</f>
        <v>HI</v>
      </c>
      <c r="T5" t="str">
        <f>[1]OMIE!T5</f>
        <v>TCC</v>
      </c>
      <c r="U5" t="str">
        <f>[1]OMIE!U5</f>
        <v>TCC</v>
      </c>
      <c r="V5" t="str">
        <f>[1]OMIE!V5</f>
        <v>HI</v>
      </c>
      <c r="W5" t="str">
        <f>[1]OMIE!W5</f>
        <v>HI</v>
      </c>
      <c r="X5" t="str">
        <f>[1]OMIE!X5</f>
        <v>HI</v>
      </c>
      <c r="Y5" t="str">
        <f>[1]OMIE!Y5</f>
        <v>TCC</v>
      </c>
      <c r="Z5" s="20" t="s">
        <v>184</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1</v>
      </c>
      <c r="AK5" s="120">
        <f t="shared" si="0"/>
        <v>1</v>
      </c>
      <c r="AL5" s="120">
        <f t="shared" si="0"/>
        <v>1</v>
      </c>
      <c r="AM5" s="120">
        <f t="shared" si="0"/>
        <v>1</v>
      </c>
      <c r="AN5" s="120">
        <f t="shared" si="0"/>
        <v>1</v>
      </c>
      <c r="AO5" s="120">
        <f t="shared" si="0"/>
        <v>2</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1</v>
      </c>
      <c r="AY5" s="120">
        <f>SUM(AA5:AX5)</f>
        <v>25</v>
      </c>
      <c r="BC5" s="122"/>
      <c r="BD5" s="136" t="s">
        <v>134</v>
      </c>
      <c r="BE5" s="136" t="s">
        <v>131</v>
      </c>
      <c r="BF5" s="136" t="s">
        <v>136</v>
      </c>
      <c r="BG5" s="136" t="s">
        <v>137</v>
      </c>
      <c r="BH5" s="136" t="s">
        <v>139</v>
      </c>
      <c r="BI5" s="136" t="s">
        <v>140</v>
      </c>
      <c r="BJ5" s="136" t="s">
        <v>135</v>
      </c>
      <c r="BK5" s="136" t="s">
        <v>141</v>
      </c>
      <c r="BL5" s="136" t="s">
        <v>132</v>
      </c>
      <c r="BM5" s="136" t="s">
        <v>133</v>
      </c>
      <c r="BN5" s="136" t="s">
        <v>243</v>
      </c>
      <c r="BO5" s="123"/>
    </row>
    <row r="6" spans="1:67">
      <c r="A6" t="str">
        <f>[1]OMIE!A6</f>
        <v>02/01/25</v>
      </c>
      <c r="B6" t="str">
        <f>[1]OMIE!B6</f>
        <v>HI</v>
      </c>
      <c r="C6" t="str">
        <f>[1]OMIE!C6</f>
        <v>HI</v>
      </c>
      <c r="D6" t="str">
        <f>[1]OMIE!D6</f>
        <v>RE</v>
      </c>
      <c r="E6" t="str">
        <f>[1]OMIE!E6</f>
        <v>RE</v>
      </c>
      <c r="F6" t="str">
        <f>[1]OMIE!F6</f>
        <v>RE</v>
      </c>
      <c r="G6" t="str">
        <f>[1]OMIE!G6</f>
        <v>RE</v>
      </c>
      <c r="H6" t="str">
        <f>[1]OMIE!H6</f>
        <v>HI</v>
      </c>
      <c r="I6" t="str">
        <f>[1]OMIE!I6</f>
        <v>HI</v>
      </c>
      <c r="J6" t="str">
        <f>[1]OMIE!J6</f>
        <v>BG</v>
      </c>
      <c r="K6" t="str">
        <f>[1]OMIE!K6</f>
        <v>TCC</v>
      </c>
      <c r="L6" t="str">
        <f>[1]OMIE!L6</f>
        <v>RE</v>
      </c>
      <c r="M6" t="str">
        <f>[1]OMIE!M6</f>
        <v>BG</v>
      </c>
      <c r="N6" t="str">
        <f>[1]OMIE!N6</f>
        <v>BG</v>
      </c>
      <c r="O6" t="str">
        <f>[1]OMIE!O6</f>
        <v>HI</v>
      </c>
      <c r="P6" t="str">
        <f>[1]OMIE!P6</f>
        <v>BG</v>
      </c>
      <c r="Q6" t="str">
        <f>[1]OMIE!Q6</f>
        <v>HI</v>
      </c>
      <c r="R6" t="str">
        <f>[1]OMIE!R6</f>
        <v>HI</v>
      </c>
      <c r="S6" t="str">
        <f>[1]OMIE!S6</f>
        <v>BG
TCC</v>
      </c>
      <c r="T6" t="str">
        <f>[1]OMIE!T6</f>
        <v>HI</v>
      </c>
      <c r="U6" t="str">
        <f>[1]OMIE!U6</f>
        <v>HI</v>
      </c>
      <c r="V6" t="str">
        <f>[1]OMIE!V6</f>
        <v>HI</v>
      </c>
      <c r="W6" t="str">
        <f>[1]OMIE!W6</f>
        <v>HI</v>
      </c>
      <c r="X6" t="str">
        <f>[1]OMIE!X6</f>
        <v>BG
HI</v>
      </c>
      <c r="Y6" t="str">
        <f>[1]OMIE!Y6</f>
        <v>BG</v>
      </c>
      <c r="Z6" s="20" t="s">
        <v>184</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2</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2</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26</v>
      </c>
      <c r="BC6" s="136" t="str">
        <f>A5</f>
        <v>01/01/25</v>
      </c>
      <c r="BD6" s="138">
        <f>AY137</f>
        <v>13.5</v>
      </c>
      <c r="BE6" s="138">
        <f>AY38</f>
        <v>0</v>
      </c>
      <c r="BF6" s="138">
        <f>AY203</f>
        <v>0</v>
      </c>
      <c r="BG6" s="138">
        <f>AY236</f>
        <v>0</v>
      </c>
      <c r="BH6" s="138">
        <f>AY302</f>
        <v>4</v>
      </c>
      <c r="BI6" s="138">
        <f>AY335</f>
        <v>0</v>
      </c>
      <c r="BJ6" s="138">
        <f>AY170</f>
        <v>0</v>
      </c>
      <c r="BK6" s="138">
        <f>AY269</f>
        <v>6.5</v>
      </c>
      <c r="BL6" s="138">
        <f>AY71</f>
        <v>0</v>
      </c>
      <c r="BM6" s="138">
        <f>AY104</f>
        <v>0</v>
      </c>
      <c r="BN6" s="138">
        <f>AY369</f>
        <v>0</v>
      </c>
      <c r="BO6" s="124">
        <f>SUM(BD6:BN6)</f>
        <v>24</v>
      </c>
    </row>
    <row r="7" spans="1:67">
      <c r="A7" t="str">
        <f>[1]OMIE!A7</f>
        <v>03/01/25</v>
      </c>
      <c r="B7" t="str">
        <f>[1]OMIE!B7</f>
        <v>HI</v>
      </c>
      <c r="C7" t="str">
        <f>[1]OMIE!C7</f>
        <v>BG</v>
      </c>
      <c r="D7" t="str">
        <f>[1]OMIE!D7</f>
        <v>RE</v>
      </c>
      <c r="E7" t="str">
        <f>[1]OMIE!E7</f>
        <v>RE</v>
      </c>
      <c r="F7" t="str">
        <f>[1]OMIE!F7</f>
        <v>RE</v>
      </c>
      <c r="G7" t="str">
        <f>[1]OMIE!G7</f>
        <v>RE</v>
      </c>
      <c r="H7" t="str">
        <f>[1]OMIE!H7</f>
        <v>RE</v>
      </c>
      <c r="I7" t="str">
        <f>[1]OMIE!I7</f>
        <v>HI
RE</v>
      </c>
      <c r="J7" t="str">
        <f>[1]OMIE!J7</f>
        <v>HI</v>
      </c>
      <c r="K7" t="str">
        <f>[1]OMIE!K7</f>
        <v>HI
RE</v>
      </c>
      <c r="L7" t="str">
        <f>[1]OMIE!L7</f>
        <v>HI</v>
      </c>
      <c r="M7" t="str">
        <f>[1]OMIE!M7</f>
        <v>BG</v>
      </c>
      <c r="N7" t="str">
        <f>[1]OMIE!N7</f>
        <v>HI</v>
      </c>
      <c r="O7" t="str">
        <f>[1]OMIE!O7</f>
        <v>HI</v>
      </c>
      <c r="P7" t="str">
        <f>[1]OMIE!P7</f>
        <v>RE</v>
      </c>
      <c r="Q7" t="str">
        <f>[1]OMIE!Q7</f>
        <v>RE</v>
      </c>
      <c r="R7" t="str">
        <f>[1]OMIE!R7</f>
        <v>RE</v>
      </c>
      <c r="S7" t="str">
        <f>[1]OMIE!S7</f>
        <v>HI</v>
      </c>
      <c r="T7" t="str">
        <f>[1]OMIE!T7</f>
        <v>TCC</v>
      </c>
      <c r="U7" t="str">
        <f>[1]OMIE!U7</f>
        <v>TCC</v>
      </c>
      <c r="V7" t="str">
        <f>[1]OMIE!V7</f>
        <v>TCC</v>
      </c>
      <c r="W7" t="str">
        <f>[1]OMIE!W7</f>
        <v>TCC</v>
      </c>
      <c r="X7" t="str">
        <f>[1]OMIE!X7</f>
        <v>HI</v>
      </c>
      <c r="Y7" t="str">
        <f>[1]OMIE!Y7</f>
        <v>TCC</v>
      </c>
      <c r="Z7" s="20" t="s">
        <v>184</v>
      </c>
      <c r="AA7" s="120">
        <f t="shared" si="1"/>
        <v>1</v>
      </c>
      <c r="AB7" s="120">
        <f t="shared" si="2"/>
        <v>1</v>
      </c>
      <c r="AC7" s="120">
        <f t="shared" si="3"/>
        <v>1</v>
      </c>
      <c r="AD7" s="120">
        <f t="shared" si="4"/>
        <v>1</v>
      </c>
      <c r="AE7" s="120">
        <f t="shared" si="5"/>
        <v>1</v>
      </c>
      <c r="AF7" s="120">
        <f t="shared" si="6"/>
        <v>1</v>
      </c>
      <c r="AG7" s="120">
        <f t="shared" si="7"/>
        <v>1</v>
      </c>
      <c r="AH7" s="120">
        <f t="shared" si="8"/>
        <v>2</v>
      </c>
      <c r="AI7" s="120">
        <f t="shared" si="9"/>
        <v>1</v>
      </c>
      <c r="AJ7" s="120">
        <f t="shared" si="10"/>
        <v>2</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26</v>
      </c>
      <c r="BC7" s="136" t="str">
        <f t="shared" ref="BC7:BC35" si="26">A6</f>
        <v>02/01/25</v>
      </c>
      <c r="BD7" s="138">
        <f t="shared" ref="BD7:BD34" si="27">AY138</f>
        <v>11.5</v>
      </c>
      <c r="BE7" s="138">
        <f t="shared" ref="BE7:BE35" si="28">AY39</f>
        <v>6</v>
      </c>
      <c r="BF7" s="138">
        <f t="shared" ref="BF7:BF35" si="29">AY204</f>
        <v>0</v>
      </c>
      <c r="BG7" s="138">
        <f t="shared" ref="BG7:BG35" si="30">AY237</f>
        <v>0</v>
      </c>
      <c r="BH7" s="138">
        <f t="shared" ref="BH7:BH35" si="31">AY303</f>
        <v>1.5</v>
      </c>
      <c r="BI7" s="138">
        <f t="shared" ref="BI7:BI35" si="32">AY336</f>
        <v>0</v>
      </c>
      <c r="BJ7" s="138">
        <f t="shared" ref="BJ7:BJ35" si="33">AY171</f>
        <v>0</v>
      </c>
      <c r="BK7" s="138">
        <f t="shared" ref="BK7:BK35" si="34">AY270</f>
        <v>5</v>
      </c>
      <c r="BL7" s="138">
        <f t="shared" ref="BL7:BL35" si="35">AY72</f>
        <v>0</v>
      </c>
      <c r="BM7" s="138">
        <f t="shared" ref="BM7:BM35" si="36">AY105</f>
        <v>0</v>
      </c>
      <c r="BN7" s="138">
        <f t="shared" ref="BN7:BN36" si="37">AY370</f>
        <v>0</v>
      </c>
      <c r="BO7" s="124">
        <f t="shared" ref="BO7:BO36" si="38">SUM(BD7:BN7)</f>
        <v>24</v>
      </c>
    </row>
    <row r="8" spans="1:67" ht="12.75" customHeight="1">
      <c r="A8" t="str">
        <f>[1]OMIE!A8</f>
        <v>04/01/25</v>
      </c>
      <c r="B8" t="str">
        <f>[1]OMIE!B8</f>
        <v>RE</v>
      </c>
      <c r="C8" t="str">
        <f>[1]OMIE!C8</f>
        <v>RE</v>
      </c>
      <c r="D8" t="str">
        <f>[1]OMIE!D8</f>
        <v>RE</v>
      </c>
      <c r="E8" t="str">
        <f>[1]OMIE!E8</f>
        <v>RE</v>
      </c>
      <c r="F8" t="str">
        <f>[1]OMIE!F8</f>
        <v>RE</v>
      </c>
      <c r="G8" t="str">
        <f>[1]OMIE!G8</f>
        <v>RE</v>
      </c>
      <c r="H8" t="str">
        <f>[1]OMIE!H8</f>
        <v>RE</v>
      </c>
      <c r="I8" t="str">
        <f>[1]OMIE!I8</f>
        <v>HI</v>
      </c>
      <c r="J8" t="str">
        <f>[1]OMIE!J8</f>
        <v>HI</v>
      </c>
      <c r="K8" t="str">
        <f>[1]OMIE!K8</f>
        <v>HI</v>
      </c>
      <c r="L8" t="str">
        <f>[1]OMIE!L8</f>
        <v>BG</v>
      </c>
      <c r="M8" t="str">
        <f>[1]OMIE!M8</f>
        <v>RE</v>
      </c>
      <c r="N8" t="str">
        <f>[1]OMIE!N8</f>
        <v>RE</v>
      </c>
      <c r="O8" t="str">
        <f>[1]OMIE!O8</f>
        <v>RE</v>
      </c>
      <c r="P8" t="str">
        <f>[1]OMIE!P8</f>
        <v>RE</v>
      </c>
      <c r="Q8" t="str">
        <f>[1]OMIE!Q8</f>
        <v>RE</v>
      </c>
      <c r="R8" t="str">
        <f>[1]OMIE!R8</f>
        <v>BG</v>
      </c>
      <c r="S8" t="str">
        <f>[1]OMIE!S8</f>
        <v>HI</v>
      </c>
      <c r="T8" t="str">
        <f>[1]OMIE!T8</f>
        <v>HI</v>
      </c>
      <c r="U8" t="str">
        <f>[1]OMIE!U8</f>
        <v>HI</v>
      </c>
      <c r="V8" t="str">
        <f>[1]OMIE!V8</f>
        <v>HI</v>
      </c>
      <c r="W8" t="str">
        <f>[1]OMIE!W8</f>
        <v>RE</v>
      </c>
      <c r="X8" t="str">
        <f>[1]OMIE!X8</f>
        <v>BG</v>
      </c>
      <c r="Y8" t="str">
        <f>[1]OMIE!Y8</f>
        <v>HI</v>
      </c>
      <c r="Z8" s="20" t="s">
        <v>184</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1</v>
      </c>
      <c r="AM8" s="120">
        <f t="shared" si="13"/>
        <v>1</v>
      </c>
      <c r="AN8" s="120">
        <f t="shared" si="14"/>
        <v>1</v>
      </c>
      <c r="AO8" s="120">
        <f t="shared" si="15"/>
        <v>1</v>
      </c>
      <c r="AP8" s="120">
        <f t="shared" si="16"/>
        <v>1</v>
      </c>
      <c r="AQ8" s="120">
        <f t="shared" si="17"/>
        <v>1</v>
      </c>
      <c r="AR8" s="120">
        <f t="shared" si="18"/>
        <v>1</v>
      </c>
      <c r="AS8" s="120">
        <f t="shared" si="19"/>
        <v>1</v>
      </c>
      <c r="AT8" s="120">
        <f t="shared" si="20"/>
        <v>1</v>
      </c>
      <c r="AU8" s="120">
        <f t="shared" si="21"/>
        <v>1</v>
      </c>
      <c r="AV8" s="120">
        <f t="shared" si="22"/>
        <v>1</v>
      </c>
      <c r="AW8" s="120">
        <f t="shared" si="23"/>
        <v>1</v>
      </c>
      <c r="AX8" s="120">
        <f t="shared" si="24"/>
        <v>1</v>
      </c>
      <c r="AY8" s="120">
        <f t="shared" si="25"/>
        <v>24</v>
      </c>
      <c r="BC8" s="136" t="str">
        <f t="shared" si="26"/>
        <v>03/01/25</v>
      </c>
      <c r="BD8" s="138">
        <f t="shared" si="27"/>
        <v>8</v>
      </c>
      <c r="BE8" s="138">
        <f t="shared" si="28"/>
        <v>2</v>
      </c>
      <c r="BF8" s="138">
        <f t="shared" si="29"/>
        <v>0</v>
      </c>
      <c r="BG8" s="138">
        <f t="shared" si="30"/>
        <v>0</v>
      </c>
      <c r="BH8" s="138">
        <f t="shared" si="31"/>
        <v>5</v>
      </c>
      <c r="BI8" s="138">
        <f t="shared" si="32"/>
        <v>0</v>
      </c>
      <c r="BJ8" s="138">
        <f t="shared" si="33"/>
        <v>0</v>
      </c>
      <c r="BK8" s="138">
        <f t="shared" si="34"/>
        <v>9</v>
      </c>
      <c r="BL8" s="138">
        <f t="shared" si="35"/>
        <v>0</v>
      </c>
      <c r="BM8" s="138">
        <f t="shared" si="36"/>
        <v>0</v>
      </c>
      <c r="BN8" s="138">
        <f t="shared" si="37"/>
        <v>0</v>
      </c>
      <c r="BO8" s="124">
        <f t="shared" si="38"/>
        <v>24</v>
      </c>
    </row>
    <row r="9" spans="1:67">
      <c r="A9" t="str">
        <f>[1]OMIE!A9</f>
        <v>05/01/25</v>
      </c>
      <c r="B9" t="str">
        <f>[1]OMIE!B9</f>
        <v>HI</v>
      </c>
      <c r="C9" t="str">
        <f>[1]OMIE!C9</f>
        <v>RE</v>
      </c>
      <c r="D9" t="str">
        <f>[1]OMIE!D9</f>
        <v>RE</v>
      </c>
      <c r="E9" t="str">
        <f>[1]OMIE!E9</f>
        <v>RE</v>
      </c>
      <c r="F9" t="str">
        <f>[1]OMIE!F9</f>
        <v>RE</v>
      </c>
      <c r="G9" t="str">
        <f>[1]OMIE!G9</f>
        <v>RE</v>
      </c>
      <c r="H9" t="str">
        <f>[1]OMIE!H9</f>
        <v>RE</v>
      </c>
      <c r="I9" t="str">
        <f>[1]OMIE!I9</f>
        <v>RE</v>
      </c>
      <c r="J9" t="str">
        <f>[1]OMIE!J9</f>
        <v>HI</v>
      </c>
      <c r="K9" t="str">
        <f>[1]OMIE!K9</f>
        <v>HI</v>
      </c>
      <c r="L9" t="str">
        <f>[1]OMIE!L9</f>
        <v>RE</v>
      </c>
      <c r="M9" t="str">
        <f>[1]OMIE!M9</f>
        <v>RE</v>
      </c>
      <c r="N9" t="str">
        <f>[1]OMIE!N9</f>
        <v>RE</v>
      </c>
      <c r="O9" t="str">
        <f>[1]OMIE!O9</f>
        <v>RE</v>
      </c>
      <c r="P9" t="str">
        <f>[1]OMIE!P9</f>
        <v>RE</v>
      </c>
      <c r="Q9" t="str">
        <f>[1]OMIE!Q9</f>
        <v>RE</v>
      </c>
      <c r="R9" t="str">
        <f>[1]OMIE!R9</f>
        <v>RE</v>
      </c>
      <c r="S9" t="str">
        <f>[1]OMIE!S9</f>
        <v>RE</v>
      </c>
      <c r="T9" t="str">
        <f>[1]OMIE!T9</f>
        <v>RE</v>
      </c>
      <c r="U9" t="str">
        <f>[1]OMIE!U9</f>
        <v>HI</v>
      </c>
      <c r="V9" t="str">
        <f>[1]OMIE!V9</f>
        <v>HI</v>
      </c>
      <c r="W9" t="str">
        <f>[1]OMIE!W9</f>
        <v>RE</v>
      </c>
      <c r="X9" t="str">
        <f>[1]OMIE!X9</f>
        <v>HI</v>
      </c>
      <c r="Y9" t="str">
        <f>[1]OMIE!Y9</f>
        <v>RE</v>
      </c>
      <c r="Z9" s="20" t="s">
        <v>184</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24</v>
      </c>
      <c r="BC9" s="136" t="str">
        <f t="shared" si="26"/>
        <v>04/01/25</v>
      </c>
      <c r="BD9" s="138">
        <f t="shared" si="27"/>
        <v>8</v>
      </c>
      <c r="BE9" s="138">
        <f t="shared" si="28"/>
        <v>3</v>
      </c>
      <c r="BF9" s="138">
        <f t="shared" si="29"/>
        <v>0</v>
      </c>
      <c r="BG9" s="138">
        <f t="shared" si="30"/>
        <v>0</v>
      </c>
      <c r="BH9" s="138">
        <f t="shared" si="31"/>
        <v>0</v>
      </c>
      <c r="BI9" s="138">
        <f t="shared" si="32"/>
        <v>0</v>
      </c>
      <c r="BJ9" s="138">
        <f t="shared" si="33"/>
        <v>0</v>
      </c>
      <c r="BK9" s="138">
        <f t="shared" si="34"/>
        <v>13</v>
      </c>
      <c r="BL9" s="138">
        <f t="shared" si="35"/>
        <v>0</v>
      </c>
      <c r="BM9" s="138">
        <f t="shared" si="36"/>
        <v>0</v>
      </c>
      <c r="BN9" s="138">
        <f t="shared" si="37"/>
        <v>0</v>
      </c>
      <c r="BO9" s="124">
        <f t="shared" si="38"/>
        <v>24</v>
      </c>
    </row>
    <row r="10" spans="1:67" ht="12.75" customHeight="1">
      <c r="A10" t="str">
        <f>[1]OMIE!A10</f>
        <v>06/01/25</v>
      </c>
      <c r="B10" t="str">
        <f>[1]OMIE!B10</f>
        <v>RE</v>
      </c>
      <c r="C10" t="str">
        <f>[1]OMIE!C10</f>
        <v>RE</v>
      </c>
      <c r="D10" t="str">
        <f>[1]OMIE!D10</f>
        <v>BG
RE</v>
      </c>
      <c r="E10" t="str">
        <f>[1]OMIE!E10</f>
        <v>RE</v>
      </c>
      <c r="F10" t="str">
        <f>[1]OMIE!F10</f>
        <v>RE</v>
      </c>
      <c r="G10" t="str">
        <f>[1]OMIE!G10</f>
        <v>BG
RE</v>
      </c>
      <c r="H10" t="str">
        <f>[1]OMIE!H10</f>
        <v>RE</v>
      </c>
      <c r="I10" t="str">
        <f>[1]OMIE!I10</f>
        <v>RE</v>
      </c>
      <c r="J10" t="str">
        <f>[1]OMIE!J10</f>
        <v>HI</v>
      </c>
      <c r="K10" t="str">
        <f>[1]OMIE!K10</f>
        <v>RE</v>
      </c>
      <c r="L10" t="str">
        <f>[1]OMIE!L10</f>
        <v>RE</v>
      </c>
      <c r="M10" t="str">
        <f>[1]OMIE!M10</f>
        <v>RE</v>
      </c>
      <c r="N10" t="str">
        <f>[1]OMIE!N10</f>
        <v>HI</v>
      </c>
      <c r="O10" t="str">
        <f>[1]OMIE!O10</f>
        <v>RE</v>
      </c>
      <c r="P10" t="str">
        <f>[1]OMIE!P10</f>
        <v>RE</v>
      </c>
      <c r="Q10" t="str">
        <f>[1]OMIE!Q10</f>
        <v>RE</v>
      </c>
      <c r="R10" t="str">
        <f>[1]OMIE!R10</f>
        <v>RE</v>
      </c>
      <c r="S10" t="str">
        <f>[1]OMIE!S10</f>
        <v>RE</v>
      </c>
      <c r="T10" t="str">
        <f>[1]OMIE!T10</f>
        <v>BG</v>
      </c>
      <c r="U10" t="str">
        <f>[1]OMIE!U10</f>
        <v>HI</v>
      </c>
      <c r="V10" t="str">
        <f>[1]OMIE!V10</f>
        <v>HI</v>
      </c>
      <c r="W10" t="str">
        <f>[1]OMIE!W10</f>
        <v>HI</v>
      </c>
      <c r="X10" t="str">
        <f>[1]OMIE!X10</f>
        <v>HI</v>
      </c>
      <c r="Y10" t="str">
        <f>[1]OMIE!Y10</f>
        <v>RE</v>
      </c>
      <c r="Z10" s="20" t="s">
        <v>184</v>
      </c>
      <c r="AA10" s="120">
        <f t="shared" si="1"/>
        <v>1</v>
      </c>
      <c r="AB10" s="120">
        <f t="shared" si="2"/>
        <v>1</v>
      </c>
      <c r="AC10" s="120">
        <f t="shared" si="3"/>
        <v>2</v>
      </c>
      <c r="AD10" s="120">
        <f t="shared" si="4"/>
        <v>1</v>
      </c>
      <c r="AE10" s="120">
        <f t="shared" si="5"/>
        <v>1</v>
      </c>
      <c r="AF10" s="120">
        <f t="shared" si="6"/>
        <v>2</v>
      </c>
      <c r="AG10" s="120">
        <f t="shared" si="7"/>
        <v>1</v>
      </c>
      <c r="AH10" s="120">
        <f t="shared" si="8"/>
        <v>1</v>
      </c>
      <c r="AI10" s="120">
        <f t="shared" si="9"/>
        <v>1</v>
      </c>
      <c r="AJ10" s="120">
        <f t="shared" si="10"/>
        <v>1</v>
      </c>
      <c r="AK10" s="120">
        <f t="shared" si="11"/>
        <v>1</v>
      </c>
      <c r="AL10" s="120">
        <f t="shared" si="12"/>
        <v>1</v>
      </c>
      <c r="AM10" s="120">
        <f t="shared" si="13"/>
        <v>1</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26</v>
      </c>
      <c r="BC10" s="136" t="str">
        <f t="shared" si="26"/>
        <v>05/01/25</v>
      </c>
      <c r="BD10" s="138">
        <f t="shared" si="27"/>
        <v>6</v>
      </c>
      <c r="BE10" s="138">
        <f t="shared" si="28"/>
        <v>0</v>
      </c>
      <c r="BF10" s="138">
        <f t="shared" si="29"/>
        <v>0</v>
      </c>
      <c r="BG10" s="138">
        <f t="shared" si="30"/>
        <v>0</v>
      </c>
      <c r="BH10" s="138">
        <f t="shared" si="31"/>
        <v>0</v>
      </c>
      <c r="BI10" s="138">
        <f t="shared" si="32"/>
        <v>0</v>
      </c>
      <c r="BJ10" s="138">
        <f t="shared" si="33"/>
        <v>0</v>
      </c>
      <c r="BK10" s="138">
        <f t="shared" si="34"/>
        <v>18</v>
      </c>
      <c r="BL10" s="138">
        <f t="shared" si="35"/>
        <v>0</v>
      </c>
      <c r="BM10" s="138">
        <f t="shared" si="36"/>
        <v>0</v>
      </c>
      <c r="BN10" s="138">
        <f t="shared" si="37"/>
        <v>0</v>
      </c>
      <c r="BO10" s="124">
        <f t="shared" si="38"/>
        <v>24</v>
      </c>
    </row>
    <row r="11" spans="1:67" ht="12.75" customHeight="1">
      <c r="A11" t="str">
        <f>[1]OMIE!A11</f>
        <v>07/01/25</v>
      </c>
      <c r="B11" t="str">
        <f>[1]OMIE!B11</f>
        <v>HI</v>
      </c>
      <c r="C11" t="str">
        <f>[1]OMIE!C11</f>
        <v>HI</v>
      </c>
      <c r="D11" t="str">
        <f>[1]OMIE!D11</f>
        <v>HI</v>
      </c>
      <c r="E11" t="str">
        <f>[1]OMIE!E11</f>
        <v>HI</v>
      </c>
      <c r="F11" t="str">
        <f>[1]OMIE!F11</f>
        <v>RE</v>
      </c>
      <c r="G11" t="str">
        <f>[1]OMIE!G11</f>
        <v>RE</v>
      </c>
      <c r="H11" t="str">
        <f>[1]OMIE!H11</f>
        <v>HI</v>
      </c>
      <c r="I11" t="str">
        <f>[1]OMIE!I11</f>
        <v>HI</v>
      </c>
      <c r="J11" t="str">
        <f>[1]OMIE!J11</f>
        <v>RE</v>
      </c>
      <c r="K11" t="str">
        <f>[1]OMIE!K11</f>
        <v>HI</v>
      </c>
      <c r="L11" t="str">
        <f>[1]OMIE!L11</f>
        <v>RE</v>
      </c>
      <c r="M11" t="str">
        <f>[1]OMIE!M11</f>
        <v>RE</v>
      </c>
      <c r="N11" t="str">
        <f>[1]OMIE!N11</f>
        <v>RE</v>
      </c>
      <c r="O11" t="str">
        <f>[1]OMIE!O11</f>
        <v>RE</v>
      </c>
      <c r="P11" t="str">
        <f>[1]OMIE!P11</f>
        <v>RE</v>
      </c>
      <c r="Q11" t="str">
        <f>[1]OMIE!Q11</f>
        <v>HI</v>
      </c>
      <c r="R11" t="str">
        <f>[1]OMIE!R11</f>
        <v>HI</v>
      </c>
      <c r="S11" t="str">
        <f>[1]OMIE!S11</f>
        <v>BG</v>
      </c>
      <c r="T11" t="str">
        <f>[1]OMIE!T11</f>
        <v>HI</v>
      </c>
      <c r="U11" t="str">
        <f>[1]OMIE!U11</f>
        <v>HI</v>
      </c>
      <c r="V11" t="str">
        <f>[1]OMIE!V11</f>
        <v>HI</v>
      </c>
      <c r="W11" t="str">
        <f>[1]OMIE!W11</f>
        <v>BG</v>
      </c>
      <c r="X11" t="str">
        <f>[1]OMIE!X11</f>
        <v>RE</v>
      </c>
      <c r="Y11" t="str">
        <f>[1]OMIE!Y11</f>
        <v>RE</v>
      </c>
      <c r="Z11" s="20" t="s">
        <v>184</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24</v>
      </c>
      <c r="BC11" s="136" t="str">
        <f t="shared" si="26"/>
        <v>06/01/25</v>
      </c>
      <c r="BD11" s="138">
        <f t="shared" si="27"/>
        <v>6</v>
      </c>
      <c r="BE11" s="138">
        <f t="shared" si="28"/>
        <v>2</v>
      </c>
      <c r="BF11" s="138">
        <f t="shared" si="29"/>
        <v>0</v>
      </c>
      <c r="BG11" s="138">
        <f t="shared" si="30"/>
        <v>0</v>
      </c>
      <c r="BH11" s="138">
        <f t="shared" si="31"/>
        <v>0</v>
      </c>
      <c r="BI11" s="138">
        <f t="shared" si="32"/>
        <v>0</v>
      </c>
      <c r="BJ11" s="138">
        <f t="shared" si="33"/>
        <v>0</v>
      </c>
      <c r="BK11" s="138">
        <f t="shared" si="34"/>
        <v>16</v>
      </c>
      <c r="BL11" s="138">
        <f t="shared" si="35"/>
        <v>0</v>
      </c>
      <c r="BM11" s="138">
        <f t="shared" si="36"/>
        <v>0</v>
      </c>
      <c r="BN11" s="138">
        <f t="shared" si="37"/>
        <v>0</v>
      </c>
      <c r="BO11" s="124">
        <f t="shared" si="38"/>
        <v>24</v>
      </c>
    </row>
    <row r="12" spans="1:67" ht="12.75" customHeight="1">
      <c r="A12" t="str">
        <f>[1]OMIE!A12</f>
        <v>08/01/25</v>
      </c>
      <c r="B12" t="str">
        <f>[1]OMIE!B12</f>
        <v>RE</v>
      </c>
      <c r="C12" t="str">
        <f>[1]OMIE!C12</f>
        <v>RE</v>
      </c>
      <c r="D12" t="str">
        <f>[1]OMIE!D12</f>
        <v>HI</v>
      </c>
      <c r="E12" t="str">
        <f>[1]OMIE!E12</f>
        <v>HI</v>
      </c>
      <c r="F12" t="str">
        <f>[1]OMIE!F12</f>
        <v>RE</v>
      </c>
      <c r="G12" t="str">
        <f>[1]OMIE!G12</f>
        <v>II</v>
      </c>
      <c r="H12" t="str">
        <f>[1]OMIE!H12</f>
        <v>HI</v>
      </c>
      <c r="I12" t="str">
        <f>[1]OMIE!I12</f>
        <v>HI</v>
      </c>
      <c r="J12" t="str">
        <f>[1]OMIE!J12</f>
        <v>HI</v>
      </c>
      <c r="K12" t="str">
        <f>[1]OMIE!K12</f>
        <v>HI</v>
      </c>
      <c r="L12" t="str">
        <f>[1]OMIE!L12</f>
        <v>HI</v>
      </c>
      <c r="M12" t="str">
        <f>[1]OMIE!M12</f>
        <v>HI</v>
      </c>
      <c r="N12" t="str">
        <f>[1]OMIE!N12</f>
        <v>RE</v>
      </c>
      <c r="O12" t="str">
        <f>[1]OMIE!O12</f>
        <v>HI</v>
      </c>
      <c r="P12" t="str">
        <f>[1]OMIE!P12</f>
        <v>HI</v>
      </c>
      <c r="Q12" t="str">
        <f>[1]OMIE!Q12</f>
        <v>RE</v>
      </c>
      <c r="R12" t="str">
        <f>[1]OMIE!R12</f>
        <v>HI</v>
      </c>
      <c r="S12" t="str">
        <f>[1]OMIE!S12</f>
        <v>HI</v>
      </c>
      <c r="T12" t="str">
        <f>[1]OMIE!T12</f>
        <v>HI</v>
      </c>
      <c r="U12" t="str">
        <f>[1]OMIE!U12</f>
        <v>HI</v>
      </c>
      <c r="V12" t="str">
        <f>[1]OMIE!V12</f>
        <v>BG</v>
      </c>
      <c r="W12" t="str">
        <f>[1]OMIE!W12</f>
        <v>HI</v>
      </c>
      <c r="X12" t="str">
        <f>[1]OMIE!X12</f>
        <v>BG</v>
      </c>
      <c r="Y12" t="str">
        <f>[1]OMIE!Y12</f>
        <v>HI</v>
      </c>
      <c r="Z12" s="20" t="s">
        <v>184</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1</v>
      </c>
      <c r="AY12" s="120">
        <f t="shared" si="25"/>
        <v>24</v>
      </c>
      <c r="BC12" s="136" t="str">
        <f t="shared" si="26"/>
        <v>07/01/25</v>
      </c>
      <c r="BD12" s="138">
        <f>AY143</f>
        <v>12</v>
      </c>
      <c r="BE12" s="138">
        <f t="shared" si="28"/>
        <v>2</v>
      </c>
      <c r="BF12" s="138">
        <f t="shared" si="29"/>
        <v>0</v>
      </c>
      <c r="BG12" s="138">
        <f t="shared" si="30"/>
        <v>0</v>
      </c>
      <c r="BH12" s="138">
        <f t="shared" si="31"/>
        <v>0</v>
      </c>
      <c r="BI12" s="138">
        <f t="shared" si="32"/>
        <v>0</v>
      </c>
      <c r="BJ12" s="138">
        <f t="shared" si="33"/>
        <v>0</v>
      </c>
      <c r="BK12" s="138">
        <f>AY275</f>
        <v>10</v>
      </c>
      <c r="BL12" s="138">
        <f t="shared" si="35"/>
        <v>0</v>
      </c>
      <c r="BM12" s="138">
        <f t="shared" si="36"/>
        <v>0</v>
      </c>
      <c r="BN12" s="138">
        <f t="shared" si="37"/>
        <v>0</v>
      </c>
      <c r="BO12" s="124">
        <f t="shared" si="38"/>
        <v>24</v>
      </c>
    </row>
    <row r="13" spans="1:67" ht="12.75" customHeight="1">
      <c r="A13" t="str">
        <f>[1]OMIE!A13</f>
        <v>09/01/25</v>
      </c>
      <c r="B13" t="str">
        <f>[1]OMIE!B13</f>
        <v>HI</v>
      </c>
      <c r="C13" t="str">
        <f>[1]OMIE!C13</f>
        <v>HI</v>
      </c>
      <c r="D13" t="str">
        <f>[1]OMIE!D13</f>
        <v>RE</v>
      </c>
      <c r="E13" t="str">
        <f>[1]OMIE!E13</f>
        <v>RE</v>
      </c>
      <c r="F13" t="str">
        <f>[1]OMIE!F13</f>
        <v>RE</v>
      </c>
      <c r="G13" t="str">
        <f>[1]OMIE!G13</f>
        <v>RE</v>
      </c>
      <c r="H13" t="str">
        <f>[1]OMIE!H13</f>
        <v>HI</v>
      </c>
      <c r="I13" t="str">
        <f>[1]OMIE!I13</f>
        <v>HI</v>
      </c>
      <c r="J13" t="str">
        <f>[1]OMIE!J13</f>
        <v>HI</v>
      </c>
      <c r="K13" t="str">
        <f>[1]OMIE!K13</f>
        <v>HI</v>
      </c>
      <c r="L13" t="str">
        <f>[1]OMIE!L13</f>
        <v>RE</v>
      </c>
      <c r="M13" t="str">
        <f>[1]OMIE!M13</f>
        <v>HI</v>
      </c>
      <c r="N13" t="str">
        <f>[1]OMIE!N13</f>
        <v>RE</v>
      </c>
      <c r="O13" t="str">
        <f>[1]OMIE!O13</f>
        <v>HI</v>
      </c>
      <c r="P13" t="str">
        <f>[1]OMIE!P13</f>
        <v>HI</v>
      </c>
      <c r="Q13" t="str">
        <f>[1]OMIE!Q13</f>
        <v>HI</v>
      </c>
      <c r="R13" t="str">
        <f>[1]OMIE!R13</f>
        <v>RE</v>
      </c>
      <c r="S13" t="str">
        <f>[1]OMIE!S13</f>
        <v>HI</v>
      </c>
      <c r="T13" t="str">
        <f>[1]OMIE!T13</f>
        <v>HI</v>
      </c>
      <c r="U13" t="str">
        <f>[1]OMIE!U13</f>
        <v>HI</v>
      </c>
      <c r="V13" t="str">
        <f>[1]OMIE!V13</f>
        <v>HI</v>
      </c>
      <c r="W13" t="str">
        <f>[1]OMIE!W13</f>
        <v>HI</v>
      </c>
      <c r="X13" t="str">
        <f>[1]OMIE!X13</f>
        <v>HI</v>
      </c>
      <c r="Y13" t="str">
        <f>[1]OMIE!Y13</f>
        <v>HI
RE</v>
      </c>
      <c r="Z13" s="20" t="s">
        <v>184</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2</v>
      </c>
      <c r="AY13" s="120">
        <f t="shared" si="25"/>
        <v>25</v>
      </c>
      <c r="BC13" s="136" t="str">
        <f t="shared" si="26"/>
        <v>08/01/25</v>
      </c>
      <c r="BD13" s="138">
        <f t="shared" si="27"/>
        <v>16</v>
      </c>
      <c r="BE13" s="138">
        <f t="shared" si="28"/>
        <v>2</v>
      </c>
      <c r="BF13" s="138">
        <f t="shared" si="29"/>
        <v>0</v>
      </c>
      <c r="BG13" s="138">
        <f t="shared" si="30"/>
        <v>0</v>
      </c>
      <c r="BH13" s="138">
        <f t="shared" si="31"/>
        <v>0</v>
      </c>
      <c r="BI13" s="138">
        <f t="shared" si="32"/>
        <v>0</v>
      </c>
      <c r="BJ13" s="138">
        <f t="shared" si="33"/>
        <v>1</v>
      </c>
      <c r="BK13" s="138">
        <f t="shared" si="34"/>
        <v>5</v>
      </c>
      <c r="BL13" s="138">
        <f t="shared" si="35"/>
        <v>0</v>
      </c>
      <c r="BM13" s="138">
        <f t="shared" si="36"/>
        <v>0</v>
      </c>
      <c r="BN13" s="138">
        <f t="shared" si="37"/>
        <v>0</v>
      </c>
      <c r="BO13" s="124">
        <f t="shared" si="38"/>
        <v>24</v>
      </c>
    </row>
    <row r="14" spans="1:67" ht="12.75" customHeight="1">
      <c r="A14" t="str">
        <f>[1]OMIE!A14</f>
        <v>10/01/25</v>
      </c>
      <c r="B14" t="str">
        <f>[1]OMIE!B14</f>
        <v>RE</v>
      </c>
      <c r="C14" t="str">
        <f>[1]OMIE!C14</f>
        <v>RE</v>
      </c>
      <c r="D14" t="str">
        <f>[1]OMIE!D14</f>
        <v>HI
RE</v>
      </c>
      <c r="E14" t="str">
        <f>[1]OMIE!E14</f>
        <v>RE</v>
      </c>
      <c r="F14" t="str">
        <f>[1]OMIE!F14</f>
        <v>HI
RE</v>
      </c>
      <c r="G14" t="str">
        <f>[1]OMIE!G14</f>
        <v>BG</v>
      </c>
      <c r="H14" t="str">
        <f>[1]OMIE!H14</f>
        <v>RE</v>
      </c>
      <c r="I14" t="str">
        <f>[1]OMIE!I14</f>
        <v>HI</v>
      </c>
      <c r="J14" t="str">
        <f>[1]OMIE!J14</f>
        <v>HI</v>
      </c>
      <c r="K14" t="str">
        <f>[1]OMIE!K14</f>
        <v>BG</v>
      </c>
      <c r="L14" t="str">
        <f>[1]OMIE!L14</f>
        <v>HI</v>
      </c>
      <c r="M14" t="str">
        <f>[1]OMIE!M14</f>
        <v>HI</v>
      </c>
      <c r="N14" t="str">
        <f>[1]OMIE!N14</f>
        <v>HI</v>
      </c>
      <c r="O14" t="str">
        <f>[1]OMIE!O14</f>
        <v>HI</v>
      </c>
      <c r="P14" t="str">
        <f>[1]OMIE!P14</f>
        <v>HI</v>
      </c>
      <c r="Q14" t="str">
        <f>[1]OMIE!Q14</f>
        <v>HI</v>
      </c>
      <c r="R14" t="str">
        <f>[1]OMIE!R14</f>
        <v>BG</v>
      </c>
      <c r="S14" t="str">
        <f>[1]OMIE!S14</f>
        <v>HI</v>
      </c>
      <c r="T14" t="str">
        <f>[1]OMIE!T14</f>
        <v>HI</v>
      </c>
      <c r="U14" t="str">
        <f>[1]OMIE!U14</f>
        <v>HI</v>
      </c>
      <c r="V14" t="str">
        <f>[1]OMIE!V14</f>
        <v>HI</v>
      </c>
      <c r="W14" t="str">
        <f>[1]OMIE!W14</f>
        <v>HI</v>
      </c>
      <c r="X14" t="str">
        <f>[1]OMIE!X14</f>
        <v>HI</v>
      </c>
      <c r="Y14" t="str">
        <f>[1]OMIE!Y14</f>
        <v>HI</v>
      </c>
      <c r="Z14" s="20" t="s">
        <v>184</v>
      </c>
      <c r="AA14" s="120">
        <f t="shared" si="1"/>
        <v>1</v>
      </c>
      <c r="AB14" s="120">
        <f t="shared" si="2"/>
        <v>1</v>
      </c>
      <c r="AC14" s="120">
        <f t="shared" si="3"/>
        <v>2</v>
      </c>
      <c r="AD14" s="120">
        <f t="shared" si="4"/>
        <v>1</v>
      </c>
      <c r="AE14" s="120">
        <f t="shared" si="5"/>
        <v>2</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26</v>
      </c>
      <c r="BC14" s="136" t="str">
        <f t="shared" si="26"/>
        <v>09/01/25</v>
      </c>
      <c r="BD14" s="138">
        <f t="shared" si="27"/>
        <v>16.5</v>
      </c>
      <c r="BE14" s="138">
        <f t="shared" si="28"/>
        <v>0</v>
      </c>
      <c r="BF14" s="138">
        <f t="shared" si="29"/>
        <v>0</v>
      </c>
      <c r="BG14" s="138">
        <f t="shared" si="30"/>
        <v>0</v>
      </c>
      <c r="BH14" s="138">
        <f t="shared" si="31"/>
        <v>0</v>
      </c>
      <c r="BI14" s="138">
        <f t="shared" si="32"/>
        <v>0</v>
      </c>
      <c r="BJ14" s="138">
        <f t="shared" si="33"/>
        <v>0</v>
      </c>
      <c r="BK14" s="138">
        <f t="shared" si="34"/>
        <v>7.5</v>
      </c>
      <c r="BL14" s="138">
        <f t="shared" si="35"/>
        <v>0</v>
      </c>
      <c r="BM14" s="138">
        <f t="shared" si="36"/>
        <v>0</v>
      </c>
      <c r="BN14" s="138">
        <f t="shared" si="37"/>
        <v>0</v>
      </c>
      <c r="BO14" s="124">
        <f t="shared" si="38"/>
        <v>24</v>
      </c>
    </row>
    <row r="15" spans="1:67" ht="12.75" customHeight="1">
      <c r="A15" t="str">
        <f>[1]OMIE!A15</f>
        <v>11/01/25</v>
      </c>
      <c r="B15" t="str">
        <f>[1]OMIE!B15</f>
        <v>HI</v>
      </c>
      <c r="C15" t="str">
        <f>[1]OMIE!C15</f>
        <v>RE</v>
      </c>
      <c r="D15" t="str">
        <f>[1]OMIE!D15</f>
        <v>RE</v>
      </c>
      <c r="E15" t="str">
        <f>[1]OMIE!E15</f>
        <v>HI</v>
      </c>
      <c r="F15" t="str">
        <f>[1]OMIE!F15</f>
        <v>HI</v>
      </c>
      <c r="G15" t="str">
        <f>[1]OMIE!G15</f>
        <v>HI</v>
      </c>
      <c r="H15" t="str">
        <f>[1]OMIE!H15</f>
        <v>RE</v>
      </c>
      <c r="I15" t="str">
        <f>[1]OMIE!I15</f>
        <v>BG</v>
      </c>
      <c r="J15" t="str">
        <f>[1]OMIE!J15</f>
        <v>HI</v>
      </c>
      <c r="K15" t="str">
        <f>[1]OMIE!K15</f>
        <v>HI</v>
      </c>
      <c r="L15" t="str">
        <f>[1]OMIE!L15</f>
        <v>HI</v>
      </c>
      <c r="M15" t="str">
        <f>[1]OMIE!M15</f>
        <v>BG</v>
      </c>
      <c r="N15" t="str">
        <f>[1]OMIE!N15</f>
        <v>HI</v>
      </c>
      <c r="O15" t="str">
        <f>[1]OMIE!O15</f>
        <v>RE</v>
      </c>
      <c r="P15" t="str">
        <f>[1]OMIE!P15</f>
        <v>RE</v>
      </c>
      <c r="Q15" t="str">
        <f>[1]OMIE!Q15</f>
        <v>HI</v>
      </c>
      <c r="R15" t="str">
        <f>[1]OMIE!R15</f>
        <v>HI</v>
      </c>
      <c r="S15" t="str">
        <f>[1]OMIE!S15</f>
        <v>HI</v>
      </c>
      <c r="T15" t="str">
        <f>[1]OMIE!T15</f>
        <v>HI</v>
      </c>
      <c r="U15" t="str">
        <f>[1]OMIE!U15</f>
        <v>HI</v>
      </c>
      <c r="V15" t="str">
        <f>[1]OMIE!V15</f>
        <v>HI</v>
      </c>
      <c r="W15" t="str">
        <f>[1]OMIE!W15</f>
        <v>HI</v>
      </c>
      <c r="X15" t="str">
        <f>[1]OMIE!X15</f>
        <v>HI</v>
      </c>
      <c r="Y15" t="str">
        <f>[1]OMIE!Y15</f>
        <v>HI</v>
      </c>
      <c r="Z15" s="20" t="s">
        <v>184</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24</v>
      </c>
      <c r="BC15" s="136" t="str">
        <f t="shared" si="26"/>
        <v>10/01/25</v>
      </c>
      <c r="BD15" s="138">
        <f t="shared" si="27"/>
        <v>16</v>
      </c>
      <c r="BE15" s="138">
        <f t="shared" si="28"/>
        <v>3</v>
      </c>
      <c r="BF15" s="138">
        <f t="shared" si="29"/>
        <v>0</v>
      </c>
      <c r="BG15" s="138">
        <f t="shared" si="30"/>
        <v>0</v>
      </c>
      <c r="BH15" s="138">
        <f t="shared" si="31"/>
        <v>0</v>
      </c>
      <c r="BI15" s="138">
        <f t="shared" si="32"/>
        <v>0</v>
      </c>
      <c r="BJ15" s="138">
        <f t="shared" si="33"/>
        <v>0</v>
      </c>
      <c r="BK15" s="138">
        <f t="shared" si="34"/>
        <v>5</v>
      </c>
      <c r="BL15" s="138">
        <f t="shared" si="35"/>
        <v>0</v>
      </c>
      <c r="BM15" s="138">
        <f t="shared" si="36"/>
        <v>0</v>
      </c>
      <c r="BN15" s="138">
        <f t="shared" si="37"/>
        <v>0</v>
      </c>
      <c r="BO15" s="124">
        <f t="shared" si="38"/>
        <v>24</v>
      </c>
    </row>
    <row r="16" spans="1:67" ht="12.75" customHeight="1">
      <c r="A16" t="str">
        <f>[1]OMIE!A16</f>
        <v>12/01/25</v>
      </c>
      <c r="B16" t="str">
        <f>[1]OMIE!B16</f>
        <v>HI</v>
      </c>
      <c r="C16" t="str">
        <f>[1]OMIE!C16</f>
        <v>RE</v>
      </c>
      <c r="D16" t="str">
        <f>[1]OMIE!D16</f>
        <v>RE</v>
      </c>
      <c r="E16" t="str">
        <f>[1]OMIE!E16</f>
        <v>RE</v>
      </c>
      <c r="F16" t="str">
        <f>[1]OMIE!F16</f>
        <v>RE</v>
      </c>
      <c r="G16" t="str">
        <f>[1]OMIE!G16</f>
        <v>RE</v>
      </c>
      <c r="H16" t="str">
        <f>[1]OMIE!H16</f>
        <v>RE</v>
      </c>
      <c r="I16" t="str">
        <f>[1]OMIE!I16</f>
        <v>RE</v>
      </c>
      <c r="J16" t="str">
        <f>[1]OMIE!J16</f>
        <v>RE</v>
      </c>
      <c r="K16" t="str">
        <f>[1]OMIE!K16</f>
        <v>HI</v>
      </c>
      <c r="L16" t="str">
        <f>[1]OMIE!L16</f>
        <v>RE</v>
      </c>
      <c r="M16" t="str">
        <f>[1]OMIE!M16</f>
        <v>RE</v>
      </c>
      <c r="N16" t="str">
        <f>[1]OMIE!N16</f>
        <v>RE</v>
      </c>
      <c r="O16" t="str">
        <f>[1]OMIE!O16</f>
        <v>RE</v>
      </c>
      <c r="P16" t="str">
        <f>[1]OMIE!P16</f>
        <v>RE</v>
      </c>
      <c r="Q16" t="str">
        <f>[1]OMIE!Q16</f>
        <v>RE</v>
      </c>
      <c r="R16" t="str">
        <f>[1]OMIE!R16</f>
        <v>RE</v>
      </c>
      <c r="S16" t="str">
        <f>[1]OMIE!S16</f>
        <v>RE</v>
      </c>
      <c r="T16" t="str">
        <f>[1]OMIE!T16</f>
        <v>BG</v>
      </c>
      <c r="U16" t="str">
        <f>[1]OMIE!U16</f>
        <v>HI</v>
      </c>
      <c r="V16" t="str">
        <f>[1]OMIE!V16</f>
        <v>HI</v>
      </c>
      <c r="W16" t="str">
        <f>[1]OMIE!W16</f>
        <v>HI</v>
      </c>
      <c r="X16" t="str">
        <f>[1]OMIE!X16</f>
        <v>BG</v>
      </c>
      <c r="Y16" t="str">
        <f>[1]OMIE!Y16</f>
        <v>HI</v>
      </c>
      <c r="Z16" s="20" t="s">
        <v>184</v>
      </c>
      <c r="AA16" s="120">
        <f t="shared" si="1"/>
        <v>1</v>
      </c>
      <c r="AB16" s="120">
        <f t="shared" si="2"/>
        <v>1</v>
      </c>
      <c r="AC16" s="120">
        <f t="shared" si="3"/>
        <v>1</v>
      </c>
      <c r="AD16" s="120">
        <f t="shared" si="4"/>
        <v>1</v>
      </c>
      <c r="AE16" s="120">
        <f t="shared" si="5"/>
        <v>1</v>
      </c>
      <c r="AF16" s="120">
        <f t="shared" si="6"/>
        <v>1</v>
      </c>
      <c r="AG16" s="120">
        <f t="shared" si="7"/>
        <v>1</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24</v>
      </c>
      <c r="BC16" s="136" t="str">
        <f t="shared" si="26"/>
        <v>11/01/25</v>
      </c>
      <c r="BD16" s="138">
        <f t="shared" si="27"/>
        <v>17</v>
      </c>
      <c r="BE16" s="138">
        <f t="shared" si="28"/>
        <v>2</v>
      </c>
      <c r="BF16" s="138">
        <f t="shared" si="29"/>
        <v>0</v>
      </c>
      <c r="BG16" s="138">
        <f t="shared" si="30"/>
        <v>0</v>
      </c>
      <c r="BH16" s="138">
        <f t="shared" si="31"/>
        <v>0</v>
      </c>
      <c r="BI16" s="138">
        <f t="shared" si="32"/>
        <v>0</v>
      </c>
      <c r="BJ16" s="138">
        <f t="shared" si="33"/>
        <v>0</v>
      </c>
      <c r="BK16" s="138">
        <f t="shared" si="34"/>
        <v>5</v>
      </c>
      <c r="BL16" s="138">
        <f t="shared" si="35"/>
        <v>0</v>
      </c>
      <c r="BM16" s="138">
        <f t="shared" si="36"/>
        <v>0</v>
      </c>
      <c r="BN16" s="138">
        <f t="shared" si="37"/>
        <v>0</v>
      </c>
      <c r="BO16" s="124">
        <f t="shared" si="38"/>
        <v>24</v>
      </c>
    </row>
    <row r="17" spans="1:67" ht="12.75" customHeight="1">
      <c r="A17" t="str">
        <f>[1]OMIE!A17</f>
        <v>13/01/25</v>
      </c>
      <c r="B17" t="str">
        <f>[1]OMIE!B17</f>
        <v>BG</v>
      </c>
      <c r="C17" t="str">
        <f>[1]OMIE!C17</f>
        <v>RE</v>
      </c>
      <c r="D17" t="str">
        <f>[1]OMIE!D17</f>
        <v>HI</v>
      </c>
      <c r="E17" t="str">
        <f>[1]OMIE!E17</f>
        <v>RE</v>
      </c>
      <c r="F17" t="str">
        <f>[1]OMIE!F17</f>
        <v>RE</v>
      </c>
      <c r="G17" t="str">
        <f>[1]OMIE!G17</f>
        <v>RE</v>
      </c>
      <c r="H17" t="str">
        <f>[1]OMIE!H17</f>
        <v>HI</v>
      </c>
      <c r="I17" t="str">
        <f>[1]OMIE!I17</f>
        <v>HI</v>
      </c>
      <c r="J17" t="str">
        <f>[1]OMIE!J17</f>
        <v>BG</v>
      </c>
      <c r="K17" t="str">
        <f>[1]OMIE!K17</f>
        <v>HI</v>
      </c>
      <c r="L17" t="str">
        <f>[1]OMIE!L17</f>
        <v>HI</v>
      </c>
      <c r="M17" t="str">
        <f>[1]OMIE!M17</f>
        <v>HI</v>
      </c>
      <c r="N17" t="str">
        <f>[1]OMIE!N17</f>
        <v>HI</v>
      </c>
      <c r="O17" t="str">
        <f>[1]OMIE!O17</f>
        <v>RE</v>
      </c>
      <c r="P17" t="str">
        <f>[1]OMIE!P17</f>
        <v>HI</v>
      </c>
      <c r="Q17" t="str">
        <f>[1]OMIE!Q17</f>
        <v>HI</v>
      </c>
      <c r="R17" t="str">
        <f>[1]OMIE!R17</f>
        <v>HI</v>
      </c>
      <c r="S17" t="str">
        <f>[1]OMIE!S17</f>
        <v>TCC</v>
      </c>
      <c r="T17" t="str">
        <f>[1]OMIE!T17</f>
        <v>RE</v>
      </c>
      <c r="U17" t="str">
        <f>[1]OMIE!U17</f>
        <v>HI</v>
      </c>
      <c r="V17" t="str">
        <f>[1]OMIE!V17</f>
        <v>TCC</v>
      </c>
      <c r="W17" t="str">
        <f>[1]OMIE!W17</f>
        <v>HI</v>
      </c>
      <c r="X17" t="str">
        <f>[1]OMIE!X17</f>
        <v>HI</v>
      </c>
      <c r="Y17" t="str">
        <f>[1]OMIE!Y17</f>
        <v>RE</v>
      </c>
      <c r="Z17" s="20" t="s">
        <v>184</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1</v>
      </c>
      <c r="AJ17" s="120">
        <f t="shared" si="10"/>
        <v>1</v>
      </c>
      <c r="AK17" s="120">
        <f t="shared" si="11"/>
        <v>1</v>
      </c>
      <c r="AL17" s="120">
        <f t="shared" si="12"/>
        <v>1</v>
      </c>
      <c r="AM17" s="120">
        <f t="shared" si="13"/>
        <v>1</v>
      </c>
      <c r="AN17" s="120">
        <f t="shared" si="14"/>
        <v>1</v>
      </c>
      <c r="AO17" s="120">
        <f t="shared" si="15"/>
        <v>1</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1</v>
      </c>
      <c r="AY17" s="120">
        <f t="shared" si="25"/>
        <v>24</v>
      </c>
      <c r="BC17" s="136" t="str">
        <f t="shared" si="26"/>
        <v>12/01/25</v>
      </c>
      <c r="BD17" s="138">
        <f t="shared" si="27"/>
        <v>6</v>
      </c>
      <c r="BE17" s="138">
        <f t="shared" si="28"/>
        <v>2</v>
      </c>
      <c r="BF17" s="138">
        <f t="shared" si="29"/>
        <v>0</v>
      </c>
      <c r="BG17" s="138">
        <f t="shared" si="30"/>
        <v>0</v>
      </c>
      <c r="BH17" s="138">
        <f t="shared" si="31"/>
        <v>0</v>
      </c>
      <c r="BI17" s="138">
        <f t="shared" si="32"/>
        <v>0</v>
      </c>
      <c r="BJ17" s="138">
        <f t="shared" si="33"/>
        <v>0</v>
      </c>
      <c r="BK17" s="138">
        <f t="shared" si="34"/>
        <v>16</v>
      </c>
      <c r="BL17" s="138">
        <f t="shared" si="35"/>
        <v>0</v>
      </c>
      <c r="BM17" s="138">
        <f t="shared" si="36"/>
        <v>0</v>
      </c>
      <c r="BN17" s="138">
        <f t="shared" si="37"/>
        <v>0</v>
      </c>
      <c r="BO17" s="124">
        <f t="shared" si="38"/>
        <v>24</v>
      </c>
    </row>
    <row r="18" spans="1:67" ht="12.75" customHeight="1">
      <c r="A18" t="str">
        <f>[1]OMIE!A18</f>
        <v>14/01/25</v>
      </c>
      <c r="B18" t="str">
        <f>[1]OMIE!B18</f>
        <v>TCC</v>
      </c>
      <c r="C18" t="str">
        <f>[1]OMIE!C18</f>
        <v>TCC</v>
      </c>
      <c r="D18" t="str">
        <f>[1]OMIE!D18</f>
        <v>TCC</v>
      </c>
      <c r="E18" t="str">
        <f>[1]OMIE!E18</f>
        <v>HI</v>
      </c>
      <c r="F18" t="str">
        <f>[1]OMIE!F18</f>
        <v>RE</v>
      </c>
      <c r="G18" t="str">
        <f>[1]OMIE!G18</f>
        <v>HI</v>
      </c>
      <c r="H18" t="str">
        <f>[1]OMIE!H18</f>
        <v>HI</v>
      </c>
      <c r="I18" t="str">
        <f>[1]OMIE!I18</f>
        <v>HI</v>
      </c>
      <c r="J18" t="str">
        <f>[1]OMIE!J18</f>
        <v>RE</v>
      </c>
      <c r="K18" t="str">
        <f>[1]OMIE!K18</f>
        <v>HI</v>
      </c>
      <c r="L18" t="str">
        <f>[1]OMIE!L18</f>
        <v>TCC</v>
      </c>
      <c r="M18" t="str">
        <f>[1]OMIE!M18</f>
        <v>TCC</v>
      </c>
      <c r="N18" t="str">
        <f>[1]OMIE!N18</f>
        <v>TCC</v>
      </c>
      <c r="O18" t="str">
        <f>[1]OMIE!O18</f>
        <v>RE</v>
      </c>
      <c r="P18" t="str">
        <f>[1]OMIE!P18</f>
        <v>TCC</v>
      </c>
      <c r="Q18" t="str">
        <f>[1]OMIE!Q18</f>
        <v>TCC</v>
      </c>
      <c r="R18" t="str">
        <f>[1]OMIE!R18</f>
        <v>HI</v>
      </c>
      <c r="S18" t="str">
        <f>[1]OMIE!S18</f>
        <v>RE</v>
      </c>
      <c r="T18" t="str">
        <f>[1]OMIE!T18</f>
        <v>HI</v>
      </c>
      <c r="U18" t="str">
        <f>[1]OMIE!U18</f>
        <v>RE</v>
      </c>
      <c r="V18" t="str">
        <f>[1]OMIE!V18</f>
        <v>HI</v>
      </c>
      <c r="W18" t="str">
        <f>[1]OMIE!W18</f>
        <v>RE</v>
      </c>
      <c r="X18" t="str">
        <f>[1]OMIE!X18</f>
        <v>HI</v>
      </c>
      <c r="Y18" t="str">
        <f>[1]OMIE!Y18</f>
        <v>HI</v>
      </c>
      <c r="Z18" s="20" t="s">
        <v>184</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1</v>
      </c>
      <c r="AT18" s="120">
        <f t="shared" si="20"/>
        <v>1</v>
      </c>
      <c r="AU18" s="120">
        <f t="shared" si="21"/>
        <v>1</v>
      </c>
      <c r="AV18" s="120">
        <f t="shared" si="22"/>
        <v>1</v>
      </c>
      <c r="AW18" s="120">
        <f t="shared" si="23"/>
        <v>1</v>
      </c>
      <c r="AX18" s="120">
        <f t="shared" si="24"/>
        <v>1</v>
      </c>
      <c r="AY18" s="120">
        <f t="shared" si="25"/>
        <v>24</v>
      </c>
      <c r="BC18" s="136" t="str">
        <f t="shared" si="26"/>
        <v>13/01/25</v>
      </c>
      <c r="BD18" s="138">
        <f t="shared" si="27"/>
        <v>13</v>
      </c>
      <c r="BE18" s="138">
        <f t="shared" si="28"/>
        <v>2</v>
      </c>
      <c r="BF18" s="138">
        <f t="shared" si="29"/>
        <v>0</v>
      </c>
      <c r="BG18" s="138">
        <f t="shared" si="30"/>
        <v>0</v>
      </c>
      <c r="BH18" s="138">
        <f t="shared" si="31"/>
        <v>2</v>
      </c>
      <c r="BI18" s="138">
        <f t="shared" si="32"/>
        <v>0</v>
      </c>
      <c r="BJ18" s="138">
        <f t="shared" si="33"/>
        <v>0</v>
      </c>
      <c r="BK18" s="138">
        <f t="shared" si="34"/>
        <v>7</v>
      </c>
      <c r="BL18" s="138">
        <f t="shared" si="35"/>
        <v>0</v>
      </c>
      <c r="BM18" s="138">
        <f t="shared" si="36"/>
        <v>0</v>
      </c>
      <c r="BN18" s="138">
        <f t="shared" si="37"/>
        <v>0</v>
      </c>
      <c r="BO18" s="124">
        <f t="shared" si="38"/>
        <v>24</v>
      </c>
    </row>
    <row r="19" spans="1:67" ht="12.75" customHeight="1">
      <c r="A19" t="str">
        <f>[1]OMIE!A19</f>
        <v>15/01/25</v>
      </c>
      <c r="B19" t="str">
        <f>[1]OMIE!B19</f>
        <v>TCC</v>
      </c>
      <c r="C19" t="str">
        <f>[1]OMIE!C19</f>
        <v>BG</v>
      </c>
      <c r="D19" t="str">
        <f>[1]OMIE!D19</f>
        <v>RE</v>
      </c>
      <c r="E19" t="str">
        <f>[1]OMIE!E19</f>
        <v>TCC</v>
      </c>
      <c r="F19" t="str">
        <f>[1]OMIE!F19</f>
        <v>TCC</v>
      </c>
      <c r="G19" t="str">
        <f>[1]OMIE!G19</f>
        <v>TCC</v>
      </c>
      <c r="H19" t="str">
        <f>[1]OMIE!H19</f>
        <v>HI</v>
      </c>
      <c r="I19" t="str">
        <f>[1]OMIE!I19</f>
        <v>HI</v>
      </c>
      <c r="J19" t="str">
        <f>[1]OMIE!J19</f>
        <v>HI</v>
      </c>
      <c r="K19" t="str">
        <f>[1]OMIE!K19</f>
        <v>BG
HI
RE</v>
      </c>
      <c r="L19" t="str">
        <f>[1]OMIE!L19</f>
        <v>RE</v>
      </c>
      <c r="M19" t="str">
        <f>[1]OMIE!M19</f>
        <v>RE</v>
      </c>
      <c r="N19" t="str">
        <f>[1]OMIE!N19</f>
        <v>RE</v>
      </c>
      <c r="O19" t="str">
        <f>[1]OMIE!O19</f>
        <v>BG</v>
      </c>
      <c r="P19" t="str">
        <f>[1]OMIE!P19</f>
        <v>TCC</v>
      </c>
      <c r="Q19" t="str">
        <f>[1]OMIE!Q19</f>
        <v>TCC</v>
      </c>
      <c r="R19" t="str">
        <f>[1]OMIE!R19</f>
        <v>HI</v>
      </c>
      <c r="S19" t="str">
        <f>[1]OMIE!S19</f>
        <v>HI</v>
      </c>
      <c r="T19" t="str">
        <f>[1]OMIE!T19</f>
        <v>HI</v>
      </c>
      <c r="U19" t="str">
        <f>[1]OMIE!U19</f>
        <v>HI</v>
      </c>
      <c r="V19" t="str">
        <f>[1]OMIE!V19</f>
        <v>HI</v>
      </c>
      <c r="W19" t="str">
        <f>[1]OMIE!W19</f>
        <v>TCC</v>
      </c>
      <c r="X19" t="str">
        <f>[1]OMIE!X19</f>
        <v>HI</v>
      </c>
      <c r="Y19" t="str">
        <f>[1]OMIE!Y19</f>
        <v>HI</v>
      </c>
      <c r="Z19" s="20" t="s">
        <v>184</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3</v>
      </c>
      <c r="AK19" s="120">
        <f t="shared" si="11"/>
        <v>1</v>
      </c>
      <c r="AL19" s="120">
        <f t="shared" si="12"/>
        <v>1</v>
      </c>
      <c r="AM19" s="120">
        <f t="shared" si="13"/>
        <v>1</v>
      </c>
      <c r="AN19" s="120">
        <f t="shared" si="14"/>
        <v>1</v>
      </c>
      <c r="AO19" s="120">
        <f t="shared" si="15"/>
        <v>1</v>
      </c>
      <c r="AP19" s="120">
        <f t="shared" si="16"/>
        <v>1</v>
      </c>
      <c r="AQ19" s="120">
        <f t="shared" si="17"/>
        <v>1</v>
      </c>
      <c r="AR19" s="120">
        <f t="shared" si="18"/>
        <v>1</v>
      </c>
      <c r="AS19" s="120">
        <f t="shared" si="19"/>
        <v>1</v>
      </c>
      <c r="AT19" s="120">
        <f t="shared" si="20"/>
        <v>1</v>
      </c>
      <c r="AU19" s="120">
        <f t="shared" si="21"/>
        <v>1</v>
      </c>
      <c r="AV19" s="120">
        <f t="shared" si="22"/>
        <v>1</v>
      </c>
      <c r="AW19" s="120">
        <f t="shared" si="23"/>
        <v>1</v>
      </c>
      <c r="AX19" s="120">
        <f t="shared" si="24"/>
        <v>1</v>
      </c>
      <c r="AY19" s="120">
        <f t="shared" si="25"/>
        <v>26</v>
      </c>
      <c r="BC19" s="136" t="str">
        <f t="shared" si="26"/>
        <v>14/01/25</v>
      </c>
      <c r="BD19" s="138">
        <f t="shared" si="27"/>
        <v>10</v>
      </c>
      <c r="BE19" s="138">
        <f t="shared" si="28"/>
        <v>0</v>
      </c>
      <c r="BF19" s="138">
        <f t="shared" si="29"/>
        <v>0</v>
      </c>
      <c r="BG19" s="138">
        <f t="shared" si="30"/>
        <v>0</v>
      </c>
      <c r="BH19" s="138">
        <f t="shared" si="31"/>
        <v>8</v>
      </c>
      <c r="BI19" s="138">
        <f t="shared" si="32"/>
        <v>0</v>
      </c>
      <c r="BJ19" s="138">
        <f t="shared" si="33"/>
        <v>0</v>
      </c>
      <c r="BK19" s="138">
        <f t="shared" si="34"/>
        <v>6</v>
      </c>
      <c r="BL19" s="138">
        <f t="shared" si="35"/>
        <v>0</v>
      </c>
      <c r="BM19" s="138">
        <f t="shared" si="36"/>
        <v>0</v>
      </c>
      <c r="BN19" s="138">
        <f t="shared" si="37"/>
        <v>0</v>
      </c>
      <c r="BO19" s="124">
        <f t="shared" si="38"/>
        <v>24</v>
      </c>
    </row>
    <row r="20" spans="1:67" ht="12.75" customHeight="1">
      <c r="A20" t="str">
        <f>[1]OMIE!A20</f>
        <v>16/01/25</v>
      </c>
      <c r="B20" t="str">
        <f>[1]OMIE!B20</f>
        <v>HI</v>
      </c>
      <c r="C20" t="str">
        <f>[1]OMIE!C20</f>
        <v>HI</v>
      </c>
      <c r="D20" t="str">
        <f>[1]OMIE!D20</f>
        <v>RE</v>
      </c>
      <c r="E20" t="str">
        <f>[1]OMIE!E20</f>
        <v>RE</v>
      </c>
      <c r="F20" t="str">
        <f>[1]OMIE!F20</f>
        <v>RE</v>
      </c>
      <c r="G20" t="str">
        <f>[1]OMIE!G20</f>
        <v>HI</v>
      </c>
      <c r="H20" t="str">
        <f>[1]OMIE!H20</f>
        <v>HI</v>
      </c>
      <c r="I20" t="str">
        <f>[1]OMIE!I20</f>
        <v>HI</v>
      </c>
      <c r="J20" t="str">
        <f>[1]OMIE!J20</f>
        <v>BG
HI</v>
      </c>
      <c r="K20" t="str">
        <f>[1]OMIE!K20</f>
        <v>HI</v>
      </c>
      <c r="L20" t="str">
        <f>[1]OMIE!L20</f>
        <v>BG
HI</v>
      </c>
      <c r="M20" t="str">
        <f>[1]OMIE!M20</f>
        <v>RE</v>
      </c>
      <c r="N20" t="str">
        <f>[1]OMIE!N20</f>
        <v>RE</v>
      </c>
      <c r="O20" t="str">
        <f>[1]OMIE!O20</f>
        <v>RE</v>
      </c>
      <c r="P20" t="str">
        <f>[1]OMIE!P20</f>
        <v>TCC</v>
      </c>
      <c r="Q20" t="str">
        <f>[1]OMIE!Q20</f>
        <v>RE</v>
      </c>
      <c r="R20" t="str">
        <f>[1]OMIE!R20</f>
        <v>TCC</v>
      </c>
      <c r="S20" t="str">
        <f>[1]OMIE!S20</f>
        <v>HI</v>
      </c>
      <c r="T20" t="str">
        <f>[1]OMIE!T20</f>
        <v>HI</v>
      </c>
      <c r="U20" t="str">
        <f>[1]OMIE!U20</f>
        <v>HI</v>
      </c>
      <c r="V20" t="str">
        <f>[1]OMIE!V20</f>
        <v>HI</v>
      </c>
      <c r="W20" t="str">
        <f>[1]OMIE!W20</f>
        <v>TCC</v>
      </c>
      <c r="X20" t="str">
        <f>[1]OMIE!X20</f>
        <v>RE</v>
      </c>
      <c r="Y20" t="str">
        <f>[1]OMIE!Y20</f>
        <v>HI</v>
      </c>
      <c r="Z20" s="20" t="s">
        <v>184</v>
      </c>
      <c r="AA20" s="120">
        <f t="shared" si="1"/>
        <v>1</v>
      </c>
      <c r="AB20" s="120">
        <f t="shared" si="2"/>
        <v>1</v>
      </c>
      <c r="AC20" s="120">
        <f t="shared" si="3"/>
        <v>1</v>
      </c>
      <c r="AD20" s="120">
        <f t="shared" si="4"/>
        <v>1</v>
      </c>
      <c r="AE20" s="120">
        <f t="shared" si="5"/>
        <v>1</v>
      </c>
      <c r="AF20" s="120">
        <f t="shared" si="6"/>
        <v>1</v>
      </c>
      <c r="AG20" s="120">
        <f t="shared" si="7"/>
        <v>1</v>
      </c>
      <c r="AH20" s="120">
        <f t="shared" si="8"/>
        <v>1</v>
      </c>
      <c r="AI20" s="120">
        <f t="shared" si="9"/>
        <v>2</v>
      </c>
      <c r="AJ20" s="120">
        <f t="shared" si="10"/>
        <v>1</v>
      </c>
      <c r="AK20" s="120">
        <f t="shared" si="11"/>
        <v>2</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26</v>
      </c>
      <c r="BC20" s="136" t="str">
        <f t="shared" si="26"/>
        <v>15/01/25</v>
      </c>
      <c r="BD20" s="138">
        <f t="shared" si="27"/>
        <v>10.333333333333334</v>
      </c>
      <c r="BE20" s="138">
        <f t="shared" si="28"/>
        <v>2.333333333333333</v>
      </c>
      <c r="BF20" s="138">
        <f t="shared" si="29"/>
        <v>0</v>
      </c>
      <c r="BG20" s="138">
        <f t="shared" si="30"/>
        <v>0</v>
      </c>
      <c r="BH20" s="138">
        <f t="shared" si="31"/>
        <v>7</v>
      </c>
      <c r="BI20" s="138">
        <f t="shared" si="32"/>
        <v>0</v>
      </c>
      <c r="BJ20" s="138">
        <f t="shared" si="33"/>
        <v>0</v>
      </c>
      <c r="BK20" s="138">
        <f t="shared" si="34"/>
        <v>4.333333333333333</v>
      </c>
      <c r="BL20" s="138">
        <f t="shared" si="35"/>
        <v>0</v>
      </c>
      <c r="BM20" s="138">
        <f t="shared" si="36"/>
        <v>0</v>
      </c>
      <c r="BN20" s="138">
        <f t="shared" si="37"/>
        <v>0</v>
      </c>
      <c r="BO20" s="124">
        <f t="shared" si="38"/>
        <v>24</v>
      </c>
    </row>
    <row r="21" spans="1:67" ht="12.75" customHeight="1">
      <c r="A21" t="str">
        <f>[1]OMIE!A21</f>
        <v>17/01/25</v>
      </c>
      <c r="B21" t="str">
        <f>[1]OMIE!B21</f>
        <v>TCC</v>
      </c>
      <c r="C21" t="str">
        <f>[1]OMIE!C21</f>
        <v>HI</v>
      </c>
      <c r="D21" t="str">
        <f>[1]OMIE!D21</f>
        <v>TCC</v>
      </c>
      <c r="E21" t="str">
        <f>[1]OMIE!E21</f>
        <v>HI</v>
      </c>
      <c r="F21" t="str">
        <f>[1]OMIE!F21</f>
        <v>TCC</v>
      </c>
      <c r="G21" t="str">
        <f>[1]OMIE!G21</f>
        <v>TCC</v>
      </c>
      <c r="H21" t="str">
        <f>[1]OMIE!H21</f>
        <v>BG</v>
      </c>
      <c r="I21" t="str">
        <f>[1]OMIE!I21</f>
        <v>HI</v>
      </c>
      <c r="J21" t="str">
        <f>[1]OMIE!J21</f>
        <v>BG
HI</v>
      </c>
      <c r="K21" t="str">
        <f>[1]OMIE!K21</f>
        <v>HI</v>
      </c>
      <c r="L21" t="str">
        <f>[1]OMIE!L21</f>
        <v>TCC</v>
      </c>
      <c r="M21" t="str">
        <f>[1]OMIE!M21</f>
        <v>HI</v>
      </c>
      <c r="N21" t="str">
        <f>[1]OMIE!N21</f>
        <v>TCC</v>
      </c>
      <c r="O21" t="str">
        <f>[1]OMIE!O21</f>
        <v>RE</v>
      </c>
      <c r="P21" t="str">
        <f>[1]OMIE!P21</f>
        <v>TCC</v>
      </c>
      <c r="Q21" t="str">
        <f>[1]OMIE!Q21</f>
        <v>HI
RE</v>
      </c>
      <c r="R21" t="str">
        <f>[1]OMIE!R21</f>
        <v>HI</v>
      </c>
      <c r="S21" t="str">
        <f>[1]OMIE!S21</f>
        <v>TCC</v>
      </c>
      <c r="T21" t="str">
        <f>[1]OMIE!T21</f>
        <v>HI</v>
      </c>
      <c r="U21" t="str">
        <f>[1]OMIE!U21</f>
        <v>HI</v>
      </c>
      <c r="V21" t="str">
        <f>[1]OMIE!V21</f>
        <v>RE</v>
      </c>
      <c r="W21" t="str">
        <f>[1]OMIE!W21</f>
        <v>HI</v>
      </c>
      <c r="X21" t="str">
        <f>[1]OMIE!X21</f>
        <v>TER</v>
      </c>
      <c r="Y21" t="str">
        <f>[1]OMIE!Y21</f>
        <v>BG</v>
      </c>
      <c r="Z21" s="20" t="s">
        <v>184</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2</v>
      </c>
      <c r="AJ21" s="120">
        <f t="shared" si="10"/>
        <v>1</v>
      </c>
      <c r="AK21" s="120">
        <f t="shared" si="11"/>
        <v>1</v>
      </c>
      <c r="AL21" s="120">
        <f t="shared" si="12"/>
        <v>1</v>
      </c>
      <c r="AM21" s="120">
        <f t="shared" si="13"/>
        <v>1</v>
      </c>
      <c r="AN21" s="120">
        <f t="shared" si="14"/>
        <v>1</v>
      </c>
      <c r="AO21" s="120">
        <f t="shared" si="15"/>
        <v>1</v>
      </c>
      <c r="AP21" s="120">
        <f t="shared" si="16"/>
        <v>2</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26</v>
      </c>
      <c r="BC21" s="136" t="str">
        <f t="shared" si="26"/>
        <v>16/01/25</v>
      </c>
      <c r="BD21" s="138">
        <f t="shared" si="27"/>
        <v>12</v>
      </c>
      <c r="BE21" s="138">
        <f t="shared" si="28"/>
        <v>1</v>
      </c>
      <c r="BF21" s="138">
        <f t="shared" si="29"/>
        <v>0</v>
      </c>
      <c r="BG21" s="138">
        <f t="shared" si="30"/>
        <v>0</v>
      </c>
      <c r="BH21" s="138">
        <f t="shared" si="31"/>
        <v>3</v>
      </c>
      <c r="BI21" s="138">
        <f t="shared" si="32"/>
        <v>0</v>
      </c>
      <c r="BJ21" s="138">
        <f t="shared" si="33"/>
        <v>0</v>
      </c>
      <c r="BK21" s="138">
        <f t="shared" si="34"/>
        <v>8</v>
      </c>
      <c r="BL21" s="138">
        <f t="shared" si="35"/>
        <v>0</v>
      </c>
      <c r="BM21" s="138">
        <f t="shared" si="36"/>
        <v>0</v>
      </c>
      <c r="BN21" s="138">
        <f t="shared" si="37"/>
        <v>0</v>
      </c>
      <c r="BO21" s="124">
        <f t="shared" si="38"/>
        <v>24</v>
      </c>
    </row>
    <row r="22" spans="1:67" ht="12.75" customHeight="1">
      <c r="A22" t="str">
        <f>[1]OMIE!A22</f>
        <v>18/01/25</v>
      </c>
      <c r="B22" t="str">
        <f>[1]OMIE!B22</f>
        <v>HI</v>
      </c>
      <c r="C22" t="str">
        <f>[1]OMIE!C22</f>
        <v>HI</v>
      </c>
      <c r="D22" t="str">
        <f>[1]OMIE!D22</f>
        <v>HI</v>
      </c>
      <c r="E22" t="str">
        <f>[1]OMIE!E22</f>
        <v>BG</v>
      </c>
      <c r="F22" t="str">
        <f>[1]OMIE!F22</f>
        <v>HI</v>
      </c>
      <c r="G22" t="str">
        <f>[1]OMIE!G22</f>
        <v>HI</v>
      </c>
      <c r="H22" t="str">
        <f>[1]OMIE!H22</f>
        <v>HI</v>
      </c>
      <c r="I22" t="str">
        <f>[1]OMIE!I22</f>
        <v>HI</v>
      </c>
      <c r="J22" t="str">
        <f>[1]OMIE!J22</f>
        <v>TCC</v>
      </c>
      <c r="K22" t="str">
        <f>[1]OMIE!K22</f>
        <v>TCC</v>
      </c>
      <c r="L22" t="str">
        <f>[1]OMIE!L22</f>
        <v>RE</v>
      </c>
      <c r="M22" t="str">
        <f>[1]OMIE!M22</f>
        <v>HI</v>
      </c>
      <c r="N22" t="str">
        <f>[1]OMIE!N22</f>
        <v>TCC</v>
      </c>
      <c r="O22" t="str">
        <f>[1]OMIE!O22</f>
        <v>HI</v>
      </c>
      <c r="P22" t="str">
        <f>[1]OMIE!P22</f>
        <v>HI</v>
      </c>
      <c r="Q22" t="str">
        <f>[1]OMIE!Q22</f>
        <v>TCC</v>
      </c>
      <c r="R22" t="str">
        <f>[1]OMIE!R22</f>
        <v>HI</v>
      </c>
      <c r="S22" t="str">
        <f>[1]OMIE!S22</f>
        <v>TCC</v>
      </c>
      <c r="T22" t="str">
        <f>[1]OMIE!T22</f>
        <v>BG</v>
      </c>
      <c r="U22" t="str">
        <f>[1]OMIE!U22</f>
        <v>BG</v>
      </c>
      <c r="V22" t="str">
        <f>[1]OMIE!V22</f>
        <v>HI</v>
      </c>
      <c r="W22" t="str">
        <f>[1]OMIE!W22</f>
        <v>TCC</v>
      </c>
      <c r="X22" t="str">
        <f>[1]OMIE!X22</f>
        <v>HI</v>
      </c>
      <c r="Y22" t="str">
        <f>[1]OMIE!Y22</f>
        <v>HI</v>
      </c>
      <c r="Z22" s="20" t="s">
        <v>184</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24</v>
      </c>
      <c r="BC22" s="136" t="str">
        <f t="shared" si="26"/>
        <v>17/01/25</v>
      </c>
      <c r="BD22" s="138">
        <f t="shared" si="27"/>
        <v>10</v>
      </c>
      <c r="BE22" s="138">
        <f t="shared" si="28"/>
        <v>2.5</v>
      </c>
      <c r="BF22" s="138">
        <f t="shared" si="29"/>
        <v>0</v>
      </c>
      <c r="BG22" s="138">
        <f t="shared" si="30"/>
        <v>0</v>
      </c>
      <c r="BH22" s="138">
        <f t="shared" si="31"/>
        <v>8</v>
      </c>
      <c r="BI22" s="138">
        <f t="shared" si="32"/>
        <v>1</v>
      </c>
      <c r="BJ22" s="138">
        <f t="shared" si="33"/>
        <v>0</v>
      </c>
      <c r="BK22" s="138">
        <f t="shared" si="34"/>
        <v>2.5</v>
      </c>
      <c r="BL22" s="138">
        <f t="shared" si="35"/>
        <v>0</v>
      </c>
      <c r="BM22" s="138">
        <f t="shared" si="36"/>
        <v>0</v>
      </c>
      <c r="BN22" s="138">
        <f t="shared" si="37"/>
        <v>0</v>
      </c>
      <c r="BO22" s="124">
        <f t="shared" si="38"/>
        <v>24</v>
      </c>
    </row>
    <row r="23" spans="1:67" ht="12.75" customHeight="1">
      <c r="A23" t="str">
        <f>[1]OMIE!A23</f>
        <v>19/01/25</v>
      </c>
      <c r="B23" t="str">
        <f>[1]OMIE!B23</f>
        <v>HI</v>
      </c>
      <c r="C23" t="str">
        <f>[1]OMIE!C23</f>
        <v>HI</v>
      </c>
      <c r="D23" t="str">
        <f>[1]OMIE!D23</f>
        <v>HI</v>
      </c>
      <c r="E23" t="str">
        <f>[1]OMIE!E23</f>
        <v>HI</v>
      </c>
      <c r="F23" t="str">
        <f>[1]OMIE!F23</f>
        <v>HI</v>
      </c>
      <c r="G23" t="str">
        <f>[1]OMIE!G23</f>
        <v>HI</v>
      </c>
      <c r="H23" t="str">
        <f>[1]OMIE!H23</f>
        <v>HI</v>
      </c>
      <c r="I23" t="str">
        <f>[1]OMIE!I23</f>
        <v>HI</v>
      </c>
      <c r="J23" t="str">
        <f>[1]OMIE!J23</f>
        <v>HI</v>
      </c>
      <c r="K23" t="str">
        <f>[1]OMIE!K23</f>
        <v>HI</v>
      </c>
      <c r="L23" t="str">
        <f>[1]OMIE!L23</f>
        <v>HI</v>
      </c>
      <c r="M23" t="str">
        <f>[1]OMIE!M23</f>
        <v>BG</v>
      </c>
      <c r="N23" t="str">
        <f>[1]OMIE!N23</f>
        <v>RE</v>
      </c>
      <c r="O23" t="str">
        <f>[1]OMIE!O23</f>
        <v>RE</v>
      </c>
      <c r="P23" t="str">
        <f>[1]OMIE!P23</f>
        <v>RE</v>
      </c>
      <c r="Q23" t="str">
        <f>[1]OMIE!Q23</f>
        <v>RE</v>
      </c>
      <c r="R23" t="str">
        <f>[1]OMIE!R23</f>
        <v>RE</v>
      </c>
      <c r="S23" t="str">
        <f>[1]OMIE!S23</f>
        <v>TCC</v>
      </c>
      <c r="T23" t="str">
        <f>[1]OMIE!T23</f>
        <v>HI</v>
      </c>
      <c r="U23" t="str">
        <f>[1]OMIE!U23</f>
        <v>HI</v>
      </c>
      <c r="V23" t="str">
        <f>[1]OMIE!V23</f>
        <v>HI</v>
      </c>
      <c r="W23" t="str">
        <f>[1]OMIE!W23</f>
        <v>HI</v>
      </c>
      <c r="X23" t="str">
        <f>[1]OMIE!X23</f>
        <v>HI</v>
      </c>
      <c r="Y23" t="str">
        <f>[1]OMIE!Y23</f>
        <v>HI</v>
      </c>
      <c r="Z23" s="20" t="s">
        <v>184</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24</v>
      </c>
      <c r="BC23" s="136" t="str">
        <f t="shared" si="26"/>
        <v>18/01/25</v>
      </c>
      <c r="BD23" s="138">
        <f t="shared" si="27"/>
        <v>14</v>
      </c>
      <c r="BE23" s="138">
        <f t="shared" si="28"/>
        <v>3</v>
      </c>
      <c r="BF23" s="138">
        <f t="shared" si="29"/>
        <v>0</v>
      </c>
      <c r="BG23" s="138">
        <f t="shared" si="30"/>
        <v>0</v>
      </c>
      <c r="BH23" s="138">
        <f t="shared" si="31"/>
        <v>6</v>
      </c>
      <c r="BI23" s="138">
        <f t="shared" si="32"/>
        <v>0</v>
      </c>
      <c r="BJ23" s="138">
        <f t="shared" si="33"/>
        <v>0</v>
      </c>
      <c r="BK23" s="138">
        <f t="shared" si="34"/>
        <v>1</v>
      </c>
      <c r="BL23" s="138">
        <f t="shared" si="35"/>
        <v>0</v>
      </c>
      <c r="BM23" s="138">
        <f t="shared" si="36"/>
        <v>0</v>
      </c>
      <c r="BN23" s="138">
        <f t="shared" si="37"/>
        <v>0</v>
      </c>
      <c r="BO23" s="124">
        <f t="shared" si="38"/>
        <v>24</v>
      </c>
    </row>
    <row r="24" spans="1:67" ht="12.75" customHeight="1">
      <c r="A24" t="str">
        <f>[1]OMIE!A24</f>
        <v>20/01/25</v>
      </c>
      <c r="B24" t="str">
        <f>[1]OMIE!B24</f>
        <v>HI</v>
      </c>
      <c r="C24" t="str">
        <f>[1]OMIE!C24</f>
        <v>TCC</v>
      </c>
      <c r="D24" t="str">
        <f>[1]OMIE!D24</f>
        <v>TCC</v>
      </c>
      <c r="E24" t="str">
        <f>[1]OMIE!E24</f>
        <v>RE</v>
      </c>
      <c r="F24" t="str">
        <f>[1]OMIE!F24</f>
        <v>RE</v>
      </c>
      <c r="G24" t="str">
        <f>[1]OMIE!G24</f>
        <v>TCC</v>
      </c>
      <c r="H24" t="str">
        <f>[1]OMIE!H24</f>
        <v>TER</v>
      </c>
      <c r="I24" t="str">
        <f>[1]OMIE!I24</f>
        <v>HI</v>
      </c>
      <c r="J24" t="str">
        <f>[1]OMIE!J24</f>
        <v>BG</v>
      </c>
      <c r="K24" t="str">
        <f>[1]OMIE!K24</f>
        <v>TCC</v>
      </c>
      <c r="L24" t="str">
        <f>[1]OMIE!L24</f>
        <v>BG</v>
      </c>
      <c r="M24" t="str">
        <f>[1]OMIE!M24</f>
        <v>TCC</v>
      </c>
      <c r="N24" t="str">
        <f>[1]OMIE!N24</f>
        <v>BG</v>
      </c>
      <c r="O24" t="str">
        <f>[1]OMIE!O24</f>
        <v>BG</v>
      </c>
      <c r="P24" t="str">
        <f>[1]OMIE!P24</f>
        <v>BG</v>
      </c>
      <c r="Q24" t="str">
        <f>[1]OMIE!Q24</f>
        <v>TCC</v>
      </c>
      <c r="R24" t="str">
        <f>[1]OMIE!R24</f>
        <v>BG</v>
      </c>
      <c r="S24" t="str">
        <f>[1]OMIE!S24</f>
        <v>BG</v>
      </c>
      <c r="T24" t="str">
        <f>[1]OMIE!T24</f>
        <v>TCC</v>
      </c>
      <c r="U24" t="str">
        <f>[1]OMIE!U24</f>
        <v>HI</v>
      </c>
      <c r="V24" t="str">
        <f>[1]OMIE!V24</f>
        <v>HI</v>
      </c>
      <c r="W24" t="str">
        <f>[1]OMIE!W24</f>
        <v>HI</v>
      </c>
      <c r="X24" t="str">
        <f>[1]OMIE!X24</f>
        <v>BG</v>
      </c>
      <c r="Y24" t="str">
        <f>[1]OMIE!Y24</f>
        <v>HI</v>
      </c>
      <c r="Z24" s="20" t="s">
        <v>184</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1</v>
      </c>
      <c r="AW24" s="120">
        <f t="shared" si="23"/>
        <v>1</v>
      </c>
      <c r="AX24" s="120">
        <f t="shared" si="24"/>
        <v>1</v>
      </c>
      <c r="AY24" s="120">
        <f t="shared" si="25"/>
        <v>24</v>
      </c>
      <c r="BC24" s="136" t="str">
        <f t="shared" si="26"/>
        <v>19/01/25</v>
      </c>
      <c r="BD24" s="138">
        <f t="shared" si="27"/>
        <v>17</v>
      </c>
      <c r="BE24" s="138">
        <f t="shared" si="28"/>
        <v>1</v>
      </c>
      <c r="BF24" s="138">
        <f t="shared" si="29"/>
        <v>0</v>
      </c>
      <c r="BG24" s="138">
        <f t="shared" si="30"/>
        <v>0</v>
      </c>
      <c r="BH24" s="138">
        <f t="shared" si="31"/>
        <v>1</v>
      </c>
      <c r="BI24" s="138">
        <f t="shared" si="32"/>
        <v>0</v>
      </c>
      <c r="BJ24" s="138">
        <f t="shared" si="33"/>
        <v>0</v>
      </c>
      <c r="BK24" s="138">
        <f t="shared" si="34"/>
        <v>5</v>
      </c>
      <c r="BL24" s="138">
        <f t="shared" si="35"/>
        <v>0</v>
      </c>
      <c r="BM24" s="138">
        <f t="shared" si="36"/>
        <v>0</v>
      </c>
      <c r="BN24" s="138">
        <f t="shared" si="37"/>
        <v>0</v>
      </c>
      <c r="BO24" s="124">
        <f t="shared" si="38"/>
        <v>24</v>
      </c>
    </row>
    <row r="25" spans="1:67" ht="12.75" customHeight="1">
      <c r="A25" t="str">
        <f>[1]OMIE!A25</f>
        <v>21/01/25</v>
      </c>
      <c r="B25" t="str">
        <f>[1]OMIE!B25</f>
        <v>HI</v>
      </c>
      <c r="C25" t="str">
        <f>[1]OMIE!C25</f>
        <v>HI</v>
      </c>
      <c r="D25" t="str">
        <f>[1]OMIE!D25</f>
        <v>HI</v>
      </c>
      <c r="E25" t="str">
        <f>[1]OMIE!E25</f>
        <v>TCC</v>
      </c>
      <c r="F25" t="str">
        <f>[1]OMIE!F25</f>
        <v>TCC</v>
      </c>
      <c r="G25" t="str">
        <f>[1]OMIE!G25</f>
        <v>HI</v>
      </c>
      <c r="H25" t="str">
        <f>[1]OMIE!H25</f>
        <v>HI</v>
      </c>
      <c r="I25" t="str">
        <f>[1]OMIE!I25</f>
        <v>RE
TCC</v>
      </c>
      <c r="J25" t="str">
        <f>[1]OMIE!J25</f>
        <v>BG
RE</v>
      </c>
      <c r="K25" t="str">
        <f>[1]OMIE!K25</f>
        <v>BG</v>
      </c>
      <c r="L25" t="str">
        <f>[1]OMIE!L25</f>
        <v>TCC</v>
      </c>
      <c r="M25" t="str">
        <f>[1]OMIE!M25</f>
        <v>TCC</v>
      </c>
      <c r="N25" t="str">
        <f>[1]OMIE!N25</f>
        <v>HI</v>
      </c>
      <c r="O25" t="str">
        <f>[1]OMIE!O25</f>
        <v>HI</v>
      </c>
      <c r="P25" t="str">
        <f>[1]OMIE!P25</f>
        <v>TCC</v>
      </c>
      <c r="Q25" t="str">
        <f>[1]OMIE!Q25</f>
        <v>HI</v>
      </c>
      <c r="R25" t="str">
        <f>[1]OMIE!R25</f>
        <v>HI</v>
      </c>
      <c r="S25" t="str">
        <f>[1]OMIE!S25</f>
        <v>HI</v>
      </c>
      <c r="T25" t="str">
        <f>[1]OMIE!T25</f>
        <v>HI</v>
      </c>
      <c r="U25" t="str">
        <f>[1]OMIE!U25</f>
        <v>RE</v>
      </c>
      <c r="V25" t="str">
        <f>[1]OMIE!V25</f>
        <v>BG</v>
      </c>
      <c r="W25" t="str">
        <f>[1]OMIE!W25</f>
        <v>TCC</v>
      </c>
      <c r="X25" t="str">
        <f>[1]OMIE!X25</f>
        <v>TCC
TER</v>
      </c>
      <c r="Y25" t="str">
        <f>[1]OMIE!Y25</f>
        <v>RE</v>
      </c>
      <c r="Z25" s="20" t="s">
        <v>184</v>
      </c>
      <c r="AA25" s="120">
        <f t="shared" si="1"/>
        <v>1</v>
      </c>
      <c r="AB25" s="120">
        <f t="shared" si="2"/>
        <v>1</v>
      </c>
      <c r="AC25" s="120">
        <f t="shared" si="3"/>
        <v>1</v>
      </c>
      <c r="AD25" s="120">
        <f t="shared" si="4"/>
        <v>1</v>
      </c>
      <c r="AE25" s="120">
        <f t="shared" si="5"/>
        <v>1</v>
      </c>
      <c r="AF25" s="120">
        <f t="shared" si="6"/>
        <v>1</v>
      </c>
      <c r="AG25" s="120">
        <f t="shared" si="7"/>
        <v>1</v>
      </c>
      <c r="AH25" s="120">
        <f t="shared" si="8"/>
        <v>2</v>
      </c>
      <c r="AI25" s="120">
        <f t="shared" si="9"/>
        <v>2</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2</v>
      </c>
      <c r="AX25" s="120">
        <f t="shared" si="24"/>
        <v>1</v>
      </c>
      <c r="AY25" s="120">
        <f t="shared" si="25"/>
        <v>27</v>
      </c>
      <c r="BC25" s="136" t="str">
        <f t="shared" si="26"/>
        <v>20/01/25</v>
      </c>
      <c r="BD25" s="138">
        <f t="shared" si="27"/>
        <v>6</v>
      </c>
      <c r="BE25" s="138">
        <f t="shared" si="28"/>
        <v>8</v>
      </c>
      <c r="BF25" s="138">
        <f t="shared" si="29"/>
        <v>0</v>
      </c>
      <c r="BG25" s="138">
        <f t="shared" si="30"/>
        <v>0</v>
      </c>
      <c r="BH25" s="138">
        <f t="shared" si="31"/>
        <v>7</v>
      </c>
      <c r="BI25" s="138">
        <f t="shared" si="32"/>
        <v>1</v>
      </c>
      <c r="BJ25" s="138">
        <f t="shared" si="33"/>
        <v>0</v>
      </c>
      <c r="BK25" s="138">
        <f t="shared" si="34"/>
        <v>2</v>
      </c>
      <c r="BL25" s="138">
        <f t="shared" si="35"/>
        <v>0</v>
      </c>
      <c r="BM25" s="138">
        <f t="shared" si="36"/>
        <v>0</v>
      </c>
      <c r="BN25" s="138">
        <f t="shared" si="37"/>
        <v>0</v>
      </c>
      <c r="BO25" s="124">
        <f t="shared" si="38"/>
        <v>24</v>
      </c>
    </row>
    <row r="26" spans="1:67" ht="12.75" customHeight="1">
      <c r="A26" t="str">
        <f>[1]OMIE!A26</f>
        <v>22/01/25</v>
      </c>
      <c r="B26" t="str">
        <f>[1]OMIE!B26</f>
        <v>HI</v>
      </c>
      <c r="C26" t="str">
        <f>[1]OMIE!C26</f>
        <v>RE</v>
      </c>
      <c r="D26" t="str">
        <f>[1]OMIE!D26</f>
        <v>HI</v>
      </c>
      <c r="E26" t="str">
        <f>[1]OMIE!E26</f>
        <v>HI</v>
      </c>
      <c r="F26" t="str">
        <f>[1]OMIE!F26</f>
        <v>HI</v>
      </c>
      <c r="G26" t="str">
        <f>[1]OMIE!G26</f>
        <v>HI</v>
      </c>
      <c r="H26" t="str">
        <f>[1]OMIE!H26</f>
        <v>RE</v>
      </c>
      <c r="I26" t="str">
        <f>[1]OMIE!I26</f>
        <v>HI</v>
      </c>
      <c r="J26" t="str">
        <f>[1]OMIE!J26</f>
        <v>TCC</v>
      </c>
      <c r="K26" t="str">
        <f>[1]OMIE!K26</f>
        <v>TCC</v>
      </c>
      <c r="L26" t="str">
        <f>[1]OMIE!L26</f>
        <v>HI</v>
      </c>
      <c r="M26" t="str">
        <f>[1]OMIE!M26</f>
        <v>RE
TER</v>
      </c>
      <c r="N26" t="str">
        <f>[1]OMIE!N26</f>
        <v>HI</v>
      </c>
      <c r="O26" t="str">
        <f>[1]OMIE!O26</f>
        <v>HI</v>
      </c>
      <c r="P26" t="str">
        <f>[1]OMIE!P26</f>
        <v>HI</v>
      </c>
      <c r="Q26" t="str">
        <f>[1]OMIE!Q26</f>
        <v>HI</v>
      </c>
      <c r="R26" t="str">
        <f>[1]OMIE!R26</f>
        <v>TCC</v>
      </c>
      <c r="S26" t="str">
        <f>[1]OMIE!S26</f>
        <v>HI</v>
      </c>
      <c r="T26" t="str">
        <f>[1]OMIE!T26</f>
        <v>HI</v>
      </c>
      <c r="U26" t="str">
        <f>[1]OMIE!U26</f>
        <v>HI</v>
      </c>
      <c r="V26" t="str">
        <f>[1]OMIE!V26</f>
        <v>BG</v>
      </c>
      <c r="W26" t="str">
        <f>[1]OMIE!W26</f>
        <v>BG</v>
      </c>
      <c r="X26" t="str">
        <f>[1]OMIE!X26</f>
        <v>BG</v>
      </c>
      <c r="Y26" t="str">
        <f>[1]OMIE!Y26</f>
        <v>HI</v>
      </c>
      <c r="Z26" s="20" t="s">
        <v>184</v>
      </c>
      <c r="AA26" s="120">
        <f t="shared" si="1"/>
        <v>1</v>
      </c>
      <c r="AB26" s="120">
        <f t="shared" si="2"/>
        <v>1</v>
      </c>
      <c r="AC26" s="120">
        <f t="shared" si="3"/>
        <v>1</v>
      </c>
      <c r="AD26" s="120">
        <f t="shared" si="4"/>
        <v>1</v>
      </c>
      <c r="AE26" s="120">
        <f t="shared" si="5"/>
        <v>1</v>
      </c>
      <c r="AF26" s="120">
        <f t="shared" si="6"/>
        <v>1</v>
      </c>
      <c r="AG26" s="120">
        <f t="shared" si="7"/>
        <v>1</v>
      </c>
      <c r="AH26" s="120">
        <f t="shared" si="8"/>
        <v>1</v>
      </c>
      <c r="AI26" s="120">
        <f t="shared" si="9"/>
        <v>1</v>
      </c>
      <c r="AJ26" s="120">
        <f t="shared" si="10"/>
        <v>1</v>
      </c>
      <c r="AK26" s="120">
        <f t="shared" si="11"/>
        <v>1</v>
      </c>
      <c r="AL26" s="120">
        <f t="shared" si="12"/>
        <v>2</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1</v>
      </c>
      <c r="AW26" s="120">
        <f t="shared" si="23"/>
        <v>1</v>
      </c>
      <c r="AX26" s="120">
        <f t="shared" si="24"/>
        <v>1</v>
      </c>
      <c r="AY26" s="120">
        <f t="shared" si="25"/>
        <v>25</v>
      </c>
      <c r="BC26" s="136" t="str">
        <f t="shared" si="26"/>
        <v>21/01/25</v>
      </c>
      <c r="BD26" s="138">
        <f t="shared" si="27"/>
        <v>11</v>
      </c>
      <c r="BE26" s="138">
        <f t="shared" si="28"/>
        <v>2.5</v>
      </c>
      <c r="BF26" s="138">
        <f t="shared" si="29"/>
        <v>0</v>
      </c>
      <c r="BG26" s="138">
        <f t="shared" si="30"/>
        <v>0</v>
      </c>
      <c r="BH26" s="138">
        <f t="shared" si="31"/>
        <v>7</v>
      </c>
      <c r="BI26" s="138">
        <f t="shared" si="32"/>
        <v>0.5</v>
      </c>
      <c r="BJ26" s="138">
        <f t="shared" si="33"/>
        <v>0</v>
      </c>
      <c r="BK26" s="138">
        <f t="shared" si="34"/>
        <v>3</v>
      </c>
      <c r="BL26" s="138">
        <f t="shared" si="35"/>
        <v>0</v>
      </c>
      <c r="BM26" s="138">
        <f t="shared" si="36"/>
        <v>0</v>
      </c>
      <c r="BN26" s="138">
        <f t="shared" si="37"/>
        <v>0</v>
      </c>
      <c r="BO26" s="124">
        <f t="shared" si="38"/>
        <v>24</v>
      </c>
    </row>
    <row r="27" spans="1:67" ht="12.75" customHeight="1">
      <c r="A27" t="str">
        <f>[1]OMIE!A27</f>
        <v>23/01/25</v>
      </c>
      <c r="B27" t="str">
        <f>[1]OMIE!B27</f>
        <v>HI</v>
      </c>
      <c r="C27" t="str">
        <f>[1]OMIE!C27</f>
        <v>TCC</v>
      </c>
      <c r="D27" t="str">
        <f>[1]OMIE!D27</f>
        <v>HI</v>
      </c>
      <c r="E27" t="str">
        <f>[1]OMIE!E27</f>
        <v>TCC</v>
      </c>
      <c r="F27" t="str">
        <f>[1]OMIE!F27</f>
        <v>RE</v>
      </c>
      <c r="G27" t="str">
        <f>[1]OMIE!G27</f>
        <v>HI</v>
      </c>
      <c r="H27" t="str">
        <f>[1]OMIE!H27</f>
        <v>HI</v>
      </c>
      <c r="I27" t="str">
        <f>[1]OMIE!I27</f>
        <v>TCC</v>
      </c>
      <c r="J27" t="str">
        <f>[1]OMIE!J27</f>
        <v>BG</v>
      </c>
      <c r="K27" t="str">
        <f>[1]OMIE!K27</f>
        <v>TCC</v>
      </c>
      <c r="L27" t="str">
        <f>[1]OMIE!L27</f>
        <v>HI</v>
      </c>
      <c r="M27" t="str">
        <f>[1]OMIE!M27</f>
        <v>TCC</v>
      </c>
      <c r="N27" t="str">
        <f>[1]OMIE!N27</f>
        <v>HI</v>
      </c>
      <c r="O27" t="str">
        <f>[1]OMIE!O27</f>
        <v>HI</v>
      </c>
      <c r="P27" t="str">
        <f>[1]OMIE!P27</f>
        <v>RE</v>
      </c>
      <c r="Q27" t="str">
        <f>[1]OMIE!Q27</f>
        <v>TCC</v>
      </c>
      <c r="R27" t="str">
        <f>[1]OMIE!R27</f>
        <v>HI</v>
      </c>
      <c r="S27" t="str">
        <f>[1]OMIE!S27</f>
        <v>HI</v>
      </c>
      <c r="T27" t="str">
        <f>[1]OMIE!T27</f>
        <v>HI</v>
      </c>
      <c r="U27" t="str">
        <f>[1]OMIE!U27</f>
        <v>HI</v>
      </c>
      <c r="V27" t="str">
        <f>[1]OMIE!V27</f>
        <v>HI</v>
      </c>
      <c r="W27" t="str">
        <f>[1]OMIE!W27</f>
        <v>HI</v>
      </c>
      <c r="X27" t="str">
        <f>[1]OMIE!X27</f>
        <v>HI</v>
      </c>
      <c r="Y27" t="str">
        <f>[1]OMIE!Y27</f>
        <v>BG
HI</v>
      </c>
      <c r="Z27" s="20" t="s">
        <v>184</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2</v>
      </c>
      <c r="AY27" s="120">
        <f t="shared" si="25"/>
        <v>25</v>
      </c>
      <c r="BC27" s="136" t="str">
        <f t="shared" si="26"/>
        <v>22/01/25</v>
      </c>
      <c r="BD27" s="138">
        <f t="shared" si="27"/>
        <v>15</v>
      </c>
      <c r="BE27" s="138">
        <f t="shared" si="28"/>
        <v>3</v>
      </c>
      <c r="BF27" s="138">
        <f t="shared" si="29"/>
        <v>0</v>
      </c>
      <c r="BG27" s="138">
        <f t="shared" si="30"/>
        <v>0</v>
      </c>
      <c r="BH27" s="138">
        <f t="shared" si="31"/>
        <v>3</v>
      </c>
      <c r="BI27" s="138">
        <f t="shared" si="32"/>
        <v>0.5</v>
      </c>
      <c r="BJ27" s="138">
        <f t="shared" si="33"/>
        <v>0</v>
      </c>
      <c r="BK27" s="138">
        <f t="shared" si="34"/>
        <v>2.5</v>
      </c>
      <c r="BL27" s="138">
        <f t="shared" si="35"/>
        <v>0</v>
      </c>
      <c r="BM27" s="138">
        <f t="shared" si="36"/>
        <v>0</v>
      </c>
      <c r="BN27" s="138">
        <f t="shared" si="37"/>
        <v>0</v>
      </c>
      <c r="BO27" s="124">
        <f t="shared" si="38"/>
        <v>24</v>
      </c>
    </row>
    <row r="28" spans="1:67" ht="12.75" customHeight="1">
      <c r="A28" t="str">
        <f>[1]OMIE!A28</f>
        <v>24/01/25</v>
      </c>
      <c r="B28" t="str">
        <f>[1]OMIE!B28</f>
        <v>HI</v>
      </c>
      <c r="C28" t="str">
        <f>[1]OMIE!C28</f>
        <v>HI</v>
      </c>
      <c r="D28" t="str">
        <f>[1]OMIE!D28</f>
        <v>HI</v>
      </c>
      <c r="E28" t="str">
        <f>[1]OMIE!E28</f>
        <v>RE</v>
      </c>
      <c r="F28" t="str">
        <f>[1]OMIE!F28</f>
        <v>RE</v>
      </c>
      <c r="G28" t="str">
        <f>[1]OMIE!G28</f>
        <v>RE</v>
      </c>
      <c r="H28" t="str">
        <f>[1]OMIE!H28</f>
        <v>HI</v>
      </c>
      <c r="I28" t="str">
        <f>[1]OMIE!I28</f>
        <v>HI</v>
      </c>
      <c r="J28" t="str">
        <f>[1]OMIE!J28</f>
        <v>HI</v>
      </c>
      <c r="K28" t="str">
        <f>[1]OMIE!K28</f>
        <v>HI</v>
      </c>
      <c r="L28" t="str">
        <f>[1]OMIE!L28</f>
        <v>HI</v>
      </c>
      <c r="M28" t="str">
        <f>[1]OMIE!M28</f>
        <v>RE</v>
      </c>
      <c r="N28" t="str">
        <f>[1]OMIE!N28</f>
        <v>HI</v>
      </c>
      <c r="O28" t="str">
        <f>[1]OMIE!O28</f>
        <v>RE</v>
      </c>
      <c r="P28" t="str">
        <f>[1]OMIE!P28</f>
        <v>RE</v>
      </c>
      <c r="Q28" t="str">
        <f>[1]OMIE!Q28</f>
        <v>RE</v>
      </c>
      <c r="R28" t="str">
        <f>[1]OMIE!R28</f>
        <v>RE</v>
      </c>
      <c r="S28" t="str">
        <f>[1]OMIE!S28</f>
        <v>HI</v>
      </c>
      <c r="T28" t="str">
        <f>[1]OMIE!T28</f>
        <v>HI</v>
      </c>
      <c r="U28" t="str">
        <f>[1]OMIE!U28</f>
        <v>BG</v>
      </c>
      <c r="V28" t="str">
        <f>[1]OMIE!V28</f>
        <v>HI</v>
      </c>
      <c r="W28" t="str">
        <f>[1]OMIE!W28</f>
        <v>HI</v>
      </c>
      <c r="X28" t="str">
        <f>[1]OMIE!X28</f>
        <v>HI</v>
      </c>
      <c r="Y28" t="str">
        <f>[1]OMIE!Y28</f>
        <v>HI</v>
      </c>
      <c r="Z28" s="20" t="s">
        <v>184</v>
      </c>
      <c r="AA28" s="120">
        <f t="shared" si="1"/>
        <v>1</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1</v>
      </c>
      <c r="AV28" s="120">
        <f t="shared" si="22"/>
        <v>1</v>
      </c>
      <c r="AW28" s="120">
        <f t="shared" si="23"/>
        <v>1</v>
      </c>
      <c r="AX28" s="120">
        <f t="shared" si="24"/>
        <v>1</v>
      </c>
      <c r="AY28" s="120">
        <f t="shared" si="25"/>
        <v>24</v>
      </c>
      <c r="BC28" s="136" t="str">
        <f t="shared" si="26"/>
        <v>23/01/25</v>
      </c>
      <c r="BD28" s="138">
        <f t="shared" si="27"/>
        <v>14.5</v>
      </c>
      <c r="BE28" s="138">
        <f t="shared" si="28"/>
        <v>1.5</v>
      </c>
      <c r="BF28" s="138">
        <f t="shared" si="29"/>
        <v>0</v>
      </c>
      <c r="BG28" s="138">
        <f t="shared" si="30"/>
        <v>0</v>
      </c>
      <c r="BH28" s="138">
        <f t="shared" si="31"/>
        <v>6</v>
      </c>
      <c r="BI28" s="138">
        <f t="shared" si="32"/>
        <v>0</v>
      </c>
      <c r="BJ28" s="138">
        <f t="shared" si="33"/>
        <v>0</v>
      </c>
      <c r="BK28" s="138">
        <f t="shared" si="34"/>
        <v>2</v>
      </c>
      <c r="BL28" s="138">
        <f t="shared" si="35"/>
        <v>0</v>
      </c>
      <c r="BM28" s="138">
        <f t="shared" si="36"/>
        <v>0</v>
      </c>
      <c r="BN28" s="138">
        <f t="shared" si="37"/>
        <v>0</v>
      </c>
      <c r="BO28" s="124">
        <f t="shared" si="38"/>
        <v>24</v>
      </c>
    </row>
    <row r="29" spans="1:67" ht="12.75" customHeight="1">
      <c r="A29" t="str">
        <f>[1]OMIE!A29</f>
        <v>25/01/25</v>
      </c>
      <c r="B29" t="str">
        <f>[1]OMIE!B29</f>
        <v>RE</v>
      </c>
      <c r="C29" t="str">
        <f>[1]OMIE!C29</f>
        <v>HI</v>
      </c>
      <c r="D29" t="str">
        <f>[1]OMIE!D29</f>
        <v>RE</v>
      </c>
      <c r="E29" t="str">
        <f>[1]OMIE!E29</f>
        <v>RE</v>
      </c>
      <c r="F29" t="str">
        <f>[1]OMIE!F29</f>
        <v>RE</v>
      </c>
      <c r="G29" t="str">
        <f>[1]OMIE!G29</f>
        <v>RE</v>
      </c>
      <c r="H29" t="str">
        <f>[1]OMIE!H29</f>
        <v>RE</v>
      </c>
      <c r="I29" t="str">
        <f>[1]OMIE!I29</f>
        <v>HI</v>
      </c>
      <c r="J29" t="str">
        <f>[1]OMIE!J29</f>
        <v>HI</v>
      </c>
      <c r="K29" t="str">
        <f>[1]OMIE!K29</f>
        <v>HI</v>
      </c>
      <c r="L29" t="str">
        <f>[1]OMIE!L29</f>
        <v>NU</v>
      </c>
      <c r="M29" t="str">
        <f>[1]OMIE!M29</f>
        <v>RE</v>
      </c>
      <c r="N29" t="str">
        <f>[1]OMIE!N29</f>
        <v>HI</v>
      </c>
      <c r="O29" t="str">
        <f>[1]OMIE!O29</f>
        <v>RE</v>
      </c>
      <c r="P29" t="str">
        <f>[1]OMIE!P29</f>
        <v>NU</v>
      </c>
      <c r="Q29" t="str">
        <f>[1]OMIE!Q29</f>
        <v>RE</v>
      </c>
      <c r="R29" t="str">
        <f>[1]OMIE!R29</f>
        <v>RE</v>
      </c>
      <c r="S29" t="str">
        <f>[1]OMIE!S29</f>
        <v>HI</v>
      </c>
      <c r="T29" t="str">
        <f>[1]OMIE!T29</f>
        <v>HI</v>
      </c>
      <c r="U29" t="str">
        <f>[1]OMIE!U29</f>
        <v>HI</v>
      </c>
      <c r="V29" t="str">
        <f>[1]OMIE!V29</f>
        <v>BG</v>
      </c>
      <c r="W29" t="str">
        <f>[1]OMIE!W29</f>
        <v>HI</v>
      </c>
      <c r="X29" t="str">
        <f>[1]OMIE!X29</f>
        <v>BG</v>
      </c>
      <c r="Y29" t="str">
        <f>[1]OMIE!Y29</f>
        <v>HI</v>
      </c>
      <c r="Z29" s="20" t="s">
        <v>184</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1</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24</v>
      </c>
      <c r="BC29" s="136" t="str">
        <f t="shared" si="26"/>
        <v>24/01/25</v>
      </c>
      <c r="BD29" s="138">
        <f t="shared" si="27"/>
        <v>15</v>
      </c>
      <c r="BE29" s="138">
        <f t="shared" si="28"/>
        <v>1</v>
      </c>
      <c r="BF29" s="138">
        <f t="shared" si="29"/>
        <v>0</v>
      </c>
      <c r="BG29" s="138">
        <f t="shared" si="30"/>
        <v>0</v>
      </c>
      <c r="BH29" s="138">
        <f t="shared" si="31"/>
        <v>0</v>
      </c>
      <c r="BI29" s="138">
        <f t="shared" si="32"/>
        <v>0</v>
      </c>
      <c r="BJ29" s="138">
        <f t="shared" si="33"/>
        <v>0</v>
      </c>
      <c r="BK29" s="138">
        <f t="shared" si="34"/>
        <v>8</v>
      </c>
      <c r="BL29" s="138">
        <f t="shared" si="35"/>
        <v>0</v>
      </c>
      <c r="BM29" s="138">
        <f t="shared" si="36"/>
        <v>0</v>
      </c>
      <c r="BN29" s="138">
        <f t="shared" si="37"/>
        <v>0</v>
      </c>
      <c r="BO29" s="124">
        <f t="shared" si="38"/>
        <v>24</v>
      </c>
    </row>
    <row r="30" spans="1:67" ht="12.75" customHeight="1">
      <c r="A30" t="str">
        <f>[1]OMIE!A30</f>
        <v>26/01/25</v>
      </c>
      <c r="B30" t="str">
        <f>[1]OMIE!B30</f>
        <v>HI</v>
      </c>
      <c r="C30" t="str">
        <f>[1]OMIE!C30</f>
        <v>RE</v>
      </c>
      <c r="D30" t="str">
        <f>[1]OMIE!D30</f>
        <v>HI</v>
      </c>
      <c r="E30" t="str">
        <f>[1]OMIE!E30</f>
        <v>RE</v>
      </c>
      <c r="F30" t="str">
        <f>[1]OMIE!F30</f>
        <v>RE</v>
      </c>
      <c r="G30" t="str">
        <f>[1]OMIE!G30</f>
        <v>HI</v>
      </c>
      <c r="H30" t="str">
        <f>[1]OMIE!H30</f>
        <v>RE</v>
      </c>
      <c r="I30" t="str">
        <f>[1]OMIE!I30</f>
        <v>RE</v>
      </c>
      <c r="J30" t="str">
        <f>[1]OMIE!J30</f>
        <v>HI</v>
      </c>
      <c r="K30" t="str">
        <f>[1]OMIE!K30</f>
        <v>HI</v>
      </c>
      <c r="L30" t="str">
        <f>[1]OMIE!L30</f>
        <v>HI</v>
      </c>
      <c r="M30" t="str">
        <f>[1]OMIE!M30</f>
        <v>RE</v>
      </c>
      <c r="N30" t="str">
        <f>[1]OMIE!N30</f>
        <v>HI</v>
      </c>
      <c r="O30" t="str">
        <f>[1]OMIE!O30</f>
        <v>RE</v>
      </c>
      <c r="P30" t="str">
        <f>[1]OMIE!P30</f>
        <v>RE</v>
      </c>
      <c r="Q30" t="str">
        <f>[1]OMIE!Q30</f>
        <v>RE</v>
      </c>
      <c r="R30" t="str">
        <f>[1]OMIE!R30</f>
        <v>RE</v>
      </c>
      <c r="S30" t="str">
        <f>[1]OMIE!S30</f>
        <v>HI</v>
      </c>
      <c r="T30" t="str">
        <f>[1]OMIE!T30</f>
        <v>HI</v>
      </c>
      <c r="U30" t="str">
        <f>[1]OMIE!U30</f>
        <v>HI</v>
      </c>
      <c r="V30" t="str">
        <f>[1]OMIE!V30</f>
        <v>HI</v>
      </c>
      <c r="W30" t="str">
        <f>[1]OMIE!W30</f>
        <v>BG</v>
      </c>
      <c r="X30" t="str">
        <f>[1]OMIE!X30</f>
        <v>HI</v>
      </c>
      <c r="Y30" t="str">
        <f>[1]OMIE!Y30</f>
        <v>RE</v>
      </c>
      <c r="Z30" s="20" t="s">
        <v>184</v>
      </c>
      <c r="AA30" s="120">
        <f t="shared" si="1"/>
        <v>1</v>
      </c>
      <c r="AB30" s="120">
        <f t="shared" si="2"/>
        <v>1</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24</v>
      </c>
      <c r="BC30" s="136" t="str">
        <f t="shared" si="26"/>
        <v>25/01/25</v>
      </c>
      <c r="BD30" s="138">
        <f t="shared" si="27"/>
        <v>10</v>
      </c>
      <c r="BE30" s="138">
        <f t="shared" si="28"/>
        <v>2</v>
      </c>
      <c r="BF30" s="138">
        <f t="shared" si="29"/>
        <v>0</v>
      </c>
      <c r="BG30" s="138">
        <f t="shared" si="30"/>
        <v>0</v>
      </c>
      <c r="BH30" s="138">
        <f t="shared" si="31"/>
        <v>0</v>
      </c>
      <c r="BI30" s="138">
        <f t="shared" si="32"/>
        <v>0</v>
      </c>
      <c r="BJ30" s="138">
        <f t="shared" si="33"/>
        <v>0</v>
      </c>
      <c r="BK30" s="138">
        <f>AY293</f>
        <v>10</v>
      </c>
      <c r="BL30" s="138">
        <f t="shared" si="35"/>
        <v>0</v>
      </c>
      <c r="BM30" s="138">
        <f t="shared" si="36"/>
        <v>0</v>
      </c>
      <c r="BN30" s="138">
        <f t="shared" si="37"/>
        <v>2</v>
      </c>
      <c r="BO30" s="124">
        <f t="shared" si="38"/>
        <v>24</v>
      </c>
    </row>
    <row r="31" spans="1:67" ht="12.75" customHeight="1">
      <c r="A31" t="str">
        <f>[1]OMIE!A31</f>
        <v>27/01/25</v>
      </c>
      <c r="B31" t="str">
        <f>[1]OMIE!B31</f>
        <v>RE</v>
      </c>
      <c r="C31" t="str">
        <f>[1]OMIE!C31</f>
        <v>RE</v>
      </c>
      <c r="D31" t="str">
        <f>[1]OMIE!D31</f>
        <v>RE</v>
      </c>
      <c r="E31" t="str">
        <f>[1]OMIE!E31</f>
        <v>RE</v>
      </c>
      <c r="F31" t="str">
        <f>[1]OMIE!F31</f>
        <v>RE</v>
      </c>
      <c r="G31" t="str">
        <f>[1]OMIE!G31</f>
        <v>RE</v>
      </c>
      <c r="H31" t="str">
        <f>[1]OMIE!H31</f>
        <v>RE</v>
      </c>
      <c r="I31" t="str">
        <f>[1]OMIE!I31</f>
        <v>MIP</v>
      </c>
      <c r="J31" t="str">
        <f>[1]OMIE!J31</f>
        <v>HI</v>
      </c>
      <c r="K31" t="str">
        <f>[1]OMIE!K31</f>
        <v>BG</v>
      </c>
      <c r="L31" t="str">
        <f>[1]OMIE!L31</f>
        <v>HI</v>
      </c>
      <c r="M31" t="str">
        <f>[1]OMIE!M31</f>
        <v>HI</v>
      </c>
      <c r="N31" t="str">
        <f>[1]OMIE!N31</f>
        <v>RE</v>
      </c>
      <c r="O31" t="str">
        <f>[1]OMIE!O31</f>
        <v>RE</v>
      </c>
      <c r="P31" t="str">
        <f>[1]OMIE!P31</f>
        <v>RE</v>
      </c>
      <c r="Q31" t="str">
        <f>[1]OMIE!Q31</f>
        <v>RE</v>
      </c>
      <c r="R31" t="str">
        <f>[1]OMIE!R31</f>
        <v>RE</v>
      </c>
      <c r="S31" t="str">
        <f>[1]OMIE!S31</f>
        <v>HI</v>
      </c>
      <c r="T31" t="str">
        <f>[1]OMIE!T31</f>
        <v>BG</v>
      </c>
      <c r="U31" t="str">
        <f>[1]OMIE!U31</f>
        <v>HI</v>
      </c>
      <c r="V31" t="str">
        <f>[1]OMIE!V31</f>
        <v>BG</v>
      </c>
      <c r="W31" t="str">
        <f>[1]OMIE!W31</f>
        <v>HI</v>
      </c>
      <c r="X31" t="str">
        <f>[1]OMIE!X31</f>
        <v>HI</v>
      </c>
      <c r="Y31" t="str">
        <f>[1]OMIE!Y31</f>
        <v>HI</v>
      </c>
      <c r="Z31" s="20" t="s">
        <v>184</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24</v>
      </c>
      <c r="BC31" s="136" t="str">
        <f t="shared" si="26"/>
        <v>26/01/25</v>
      </c>
      <c r="BD31" s="138">
        <f t="shared" si="27"/>
        <v>12</v>
      </c>
      <c r="BE31" s="138">
        <f t="shared" si="28"/>
        <v>1</v>
      </c>
      <c r="BF31" s="138">
        <f t="shared" si="29"/>
        <v>0</v>
      </c>
      <c r="BG31" s="138">
        <f t="shared" si="30"/>
        <v>0</v>
      </c>
      <c r="BH31" s="138">
        <f t="shared" si="31"/>
        <v>0</v>
      </c>
      <c r="BI31" s="138">
        <f t="shared" si="32"/>
        <v>0</v>
      </c>
      <c r="BJ31" s="138">
        <f t="shared" si="33"/>
        <v>0</v>
      </c>
      <c r="BK31" s="138">
        <f t="shared" si="34"/>
        <v>11</v>
      </c>
      <c r="BL31" s="138">
        <f t="shared" si="35"/>
        <v>0</v>
      </c>
      <c r="BM31" s="138">
        <f t="shared" si="36"/>
        <v>0</v>
      </c>
      <c r="BN31" s="138">
        <f t="shared" si="37"/>
        <v>0</v>
      </c>
      <c r="BO31" s="124">
        <f t="shared" si="38"/>
        <v>24</v>
      </c>
    </row>
    <row r="32" spans="1:67" ht="12.75" customHeight="1">
      <c r="A32" t="str">
        <f>[1]OMIE!A32</f>
        <v>28/01/25</v>
      </c>
      <c r="B32" t="str">
        <f>[1]OMIE!B32</f>
        <v>RE</v>
      </c>
      <c r="C32" t="str">
        <f>[1]OMIE!C32</f>
        <v>HI
RE</v>
      </c>
      <c r="D32" t="str">
        <f>[1]OMIE!D32</f>
        <v>RE</v>
      </c>
      <c r="E32" t="str">
        <f>[1]OMIE!E32</f>
        <v>RE</v>
      </c>
      <c r="F32" t="str">
        <f>[1]OMIE!F32</f>
        <v>RE</v>
      </c>
      <c r="G32" t="str">
        <f>[1]OMIE!G32</f>
        <v>RE</v>
      </c>
      <c r="H32" t="str">
        <f>[1]OMIE!H32</f>
        <v>RE</v>
      </c>
      <c r="I32" t="str">
        <f>[1]OMIE!I32</f>
        <v>RE</v>
      </c>
      <c r="J32" t="str">
        <f>[1]OMIE!J32</f>
        <v>BG</v>
      </c>
      <c r="K32" t="str">
        <f>[1]OMIE!K32</f>
        <v>HI</v>
      </c>
      <c r="L32" t="str">
        <f>[1]OMIE!L32</f>
        <v>RE</v>
      </c>
      <c r="M32" t="str">
        <f>[1]OMIE!M32</f>
        <v>HI
RE</v>
      </c>
      <c r="N32" t="str">
        <f>[1]OMIE!N32</f>
        <v>RE</v>
      </c>
      <c r="O32" t="str">
        <f>[1]OMIE!O32</f>
        <v>RE</v>
      </c>
      <c r="P32" t="str">
        <f>[1]OMIE!P32</f>
        <v>RE</v>
      </c>
      <c r="Q32" t="str">
        <f>[1]OMIE!Q32</f>
        <v>RE</v>
      </c>
      <c r="R32" t="str">
        <f>[1]OMIE!R32</f>
        <v>RE</v>
      </c>
      <c r="S32" t="str">
        <f>[1]OMIE!S32</f>
        <v>RE</v>
      </c>
      <c r="T32" t="str">
        <f>[1]OMIE!T32</f>
        <v>RE</v>
      </c>
      <c r="U32" t="str">
        <f>[1]OMIE!U32</f>
        <v>HI</v>
      </c>
      <c r="V32" t="str">
        <f>[1]OMIE!V32</f>
        <v>HI</v>
      </c>
      <c r="W32" t="str">
        <f>[1]OMIE!W32</f>
        <v>HI</v>
      </c>
      <c r="X32" t="str">
        <f>[1]OMIE!X32</f>
        <v>BG</v>
      </c>
      <c r="Y32" t="str">
        <f>[1]OMIE!Y32</f>
        <v>HI</v>
      </c>
      <c r="Z32" s="20" t="s">
        <v>184</v>
      </c>
      <c r="AA32" s="120">
        <f t="shared" si="1"/>
        <v>1</v>
      </c>
      <c r="AB32" s="120">
        <f t="shared" si="2"/>
        <v>2</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2</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26</v>
      </c>
      <c r="BC32" s="136" t="str">
        <f t="shared" si="26"/>
        <v>27/01/25</v>
      </c>
      <c r="BD32" s="138">
        <f t="shared" si="27"/>
        <v>8</v>
      </c>
      <c r="BE32" s="138">
        <f t="shared" si="28"/>
        <v>3</v>
      </c>
      <c r="BF32" s="138">
        <f t="shared" si="29"/>
        <v>0</v>
      </c>
      <c r="BG32" s="138">
        <f t="shared" si="30"/>
        <v>1</v>
      </c>
      <c r="BH32" s="138">
        <f t="shared" si="31"/>
        <v>0</v>
      </c>
      <c r="BI32" s="138">
        <f t="shared" si="32"/>
        <v>0</v>
      </c>
      <c r="BJ32" s="138">
        <f t="shared" si="33"/>
        <v>0</v>
      </c>
      <c r="BK32" s="138">
        <f t="shared" si="34"/>
        <v>12</v>
      </c>
      <c r="BL32" s="138">
        <f t="shared" si="35"/>
        <v>0</v>
      </c>
      <c r="BM32" s="138">
        <f t="shared" si="36"/>
        <v>0</v>
      </c>
      <c r="BN32" s="138">
        <f t="shared" si="37"/>
        <v>0</v>
      </c>
      <c r="BO32" s="124">
        <f t="shared" si="38"/>
        <v>24</v>
      </c>
    </row>
    <row r="33" spans="1:67" ht="12.75" customHeight="1">
      <c r="A33" t="str">
        <f>[1]OMIE!A33</f>
        <v>29/01/25</v>
      </c>
      <c r="B33" t="str">
        <f>[1]OMIE!B33</f>
        <v>RE</v>
      </c>
      <c r="C33" t="str">
        <f>[1]OMIE!C33</f>
        <v>RE</v>
      </c>
      <c r="D33" t="str">
        <f>[1]OMIE!D33</f>
        <v>RE</v>
      </c>
      <c r="E33" t="str">
        <f>[1]OMIE!E33</f>
        <v>RE</v>
      </c>
      <c r="F33" t="str">
        <f>[1]OMIE!F33</f>
        <v>RE</v>
      </c>
      <c r="G33" t="str">
        <f>[1]OMIE!G33</f>
        <v>RE</v>
      </c>
      <c r="H33" t="str">
        <f>[1]OMIE!H33</f>
        <v>RE</v>
      </c>
      <c r="I33" t="str">
        <f>[1]OMIE!I33</f>
        <v>RE</v>
      </c>
      <c r="J33" t="str">
        <f>[1]OMIE!J33</f>
        <v>HI</v>
      </c>
      <c r="K33" t="str">
        <f>[1]OMIE!K33</f>
        <v>HI</v>
      </c>
      <c r="L33" t="str">
        <f>[1]OMIE!L33</f>
        <v>HI</v>
      </c>
      <c r="M33" t="str">
        <f>[1]OMIE!M33</f>
        <v>BG</v>
      </c>
      <c r="N33" t="str">
        <f>[1]OMIE!N33</f>
        <v>HI</v>
      </c>
      <c r="O33" t="str">
        <f>[1]OMIE!O33</f>
        <v>RE</v>
      </c>
      <c r="P33" t="str">
        <f>[1]OMIE!P33</f>
        <v>RE</v>
      </c>
      <c r="Q33" t="str">
        <f>[1]OMIE!Q33</f>
        <v>RE</v>
      </c>
      <c r="R33" t="str">
        <f>[1]OMIE!R33</f>
        <v>RE</v>
      </c>
      <c r="S33" t="str">
        <f>[1]OMIE!S33</f>
        <v>HI</v>
      </c>
      <c r="T33" t="str">
        <f>[1]OMIE!T33</f>
        <v>RE</v>
      </c>
      <c r="U33" t="str">
        <f>[1]OMIE!U33</f>
        <v>HI</v>
      </c>
      <c r="V33" t="str">
        <f>[1]OMIE!V33</f>
        <v>TCC</v>
      </c>
      <c r="W33" t="str">
        <f>[1]OMIE!W33</f>
        <v>HI</v>
      </c>
      <c r="X33" t="str">
        <f>[1]OMIE!X33</f>
        <v>HI</v>
      </c>
      <c r="Y33" t="str">
        <f>[1]OMIE!Y33</f>
        <v>HI</v>
      </c>
      <c r="Z33" s="20" t="s">
        <v>184</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24</v>
      </c>
      <c r="BC33" s="136" t="str">
        <f t="shared" si="26"/>
        <v>28/01/25</v>
      </c>
      <c r="BD33" s="138">
        <f t="shared" si="27"/>
        <v>6</v>
      </c>
      <c r="BE33" s="138">
        <f t="shared" si="28"/>
        <v>2</v>
      </c>
      <c r="BF33" s="138">
        <f t="shared" si="29"/>
        <v>0</v>
      </c>
      <c r="BG33" s="138">
        <f t="shared" si="30"/>
        <v>0</v>
      </c>
      <c r="BH33" s="138">
        <f t="shared" si="31"/>
        <v>0</v>
      </c>
      <c r="BI33" s="138">
        <f t="shared" si="32"/>
        <v>0</v>
      </c>
      <c r="BJ33" s="138">
        <f t="shared" si="33"/>
        <v>0</v>
      </c>
      <c r="BK33" s="138">
        <f t="shared" si="34"/>
        <v>16</v>
      </c>
      <c r="BL33" s="138">
        <f t="shared" si="35"/>
        <v>0</v>
      </c>
      <c r="BM33" s="138">
        <f t="shared" si="36"/>
        <v>0</v>
      </c>
      <c r="BN33" s="138">
        <f t="shared" si="37"/>
        <v>0</v>
      </c>
      <c r="BO33" s="124">
        <f t="shared" si="38"/>
        <v>24</v>
      </c>
    </row>
    <row r="34" spans="1:67" ht="12.75" customHeight="1">
      <c r="A34" t="str">
        <f>[1]OMIE!A34</f>
        <v>30/01/25</v>
      </c>
      <c r="B34" t="str">
        <f>[1]OMIE!B34</f>
        <v>HI</v>
      </c>
      <c r="C34" t="str">
        <f>[1]OMIE!C34</f>
        <v>RE</v>
      </c>
      <c r="D34" t="str">
        <f>[1]OMIE!D34</f>
        <v>RE</v>
      </c>
      <c r="E34" t="str">
        <f>[1]OMIE!E34</f>
        <v>RE</v>
      </c>
      <c r="F34" t="str">
        <f>[1]OMIE!F34</f>
        <v>RE</v>
      </c>
      <c r="G34" t="str">
        <f>[1]OMIE!G34</f>
        <v>RE</v>
      </c>
      <c r="H34" t="str">
        <f>[1]OMIE!H34</f>
        <v>RE</v>
      </c>
      <c r="I34" t="str">
        <f>[1]OMIE!I34</f>
        <v>HI</v>
      </c>
      <c r="J34" t="str">
        <f>[1]OMIE!J34</f>
        <v>HI</v>
      </c>
      <c r="K34" t="str">
        <f>[1]OMIE!K34</f>
        <v>RE</v>
      </c>
      <c r="L34" t="str">
        <f>[1]OMIE!L34</f>
        <v>RE</v>
      </c>
      <c r="M34" t="str">
        <f>[1]OMIE!M34</f>
        <v>RE</v>
      </c>
      <c r="N34" t="str">
        <f>[1]OMIE!N34</f>
        <v>RE</v>
      </c>
      <c r="O34" t="str">
        <f>[1]OMIE!O34</f>
        <v>HI
RE</v>
      </c>
      <c r="P34" t="str">
        <f>[1]OMIE!P34</f>
        <v>HI
RE</v>
      </c>
      <c r="Q34" t="str">
        <f>[1]OMIE!Q34</f>
        <v>HI</v>
      </c>
      <c r="R34" t="str">
        <f>[1]OMIE!R34</f>
        <v>RE</v>
      </c>
      <c r="S34" t="str">
        <f>[1]OMIE!S34</f>
        <v>RE</v>
      </c>
      <c r="T34" t="str">
        <f>[1]OMIE!T34</f>
        <v>BG</v>
      </c>
      <c r="U34" t="str">
        <f>[1]OMIE!U34</f>
        <v>BG</v>
      </c>
      <c r="V34" t="str">
        <f>[1]OMIE!V34</f>
        <v>RE</v>
      </c>
      <c r="W34" t="str">
        <f>[1]OMIE!W34</f>
        <v>HI</v>
      </c>
      <c r="X34" t="str">
        <f>[1]OMIE!X34</f>
        <v>HI</v>
      </c>
      <c r="Y34" t="str">
        <f>[1]OMIE!Y34</f>
        <v>RE</v>
      </c>
      <c r="AA34" s="120">
        <f t="shared" si="1"/>
        <v>1</v>
      </c>
      <c r="AB34" s="120">
        <f t="shared" si="2"/>
        <v>1</v>
      </c>
      <c r="AC34" s="120">
        <f t="shared" si="3"/>
        <v>1</v>
      </c>
      <c r="AD34" s="120">
        <f t="shared" si="4"/>
        <v>1</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1</v>
      </c>
      <c r="AN34" s="120">
        <f t="shared" si="14"/>
        <v>2</v>
      </c>
      <c r="AO34" s="120">
        <f t="shared" si="15"/>
        <v>2</v>
      </c>
      <c r="AP34" s="120">
        <f t="shared" si="16"/>
        <v>1</v>
      </c>
      <c r="AQ34" s="120">
        <f t="shared" si="17"/>
        <v>1</v>
      </c>
      <c r="AR34" s="120">
        <f t="shared" si="18"/>
        <v>1</v>
      </c>
      <c r="AS34" s="120">
        <f t="shared" si="19"/>
        <v>1</v>
      </c>
      <c r="AT34" s="120">
        <f t="shared" si="20"/>
        <v>1</v>
      </c>
      <c r="AU34" s="120">
        <f t="shared" si="21"/>
        <v>1</v>
      </c>
      <c r="AV34" s="120">
        <f t="shared" si="22"/>
        <v>1</v>
      </c>
      <c r="AW34" s="120">
        <f t="shared" si="23"/>
        <v>1</v>
      </c>
      <c r="AX34" s="120">
        <f t="shared" si="24"/>
        <v>1</v>
      </c>
      <c r="AY34" s="120">
        <f t="shared" si="25"/>
        <v>26</v>
      </c>
      <c r="BC34" s="136" t="str">
        <f t="shared" si="26"/>
        <v>29/01/25</v>
      </c>
      <c r="BD34" s="138">
        <f t="shared" si="27"/>
        <v>9</v>
      </c>
      <c r="BE34" s="138">
        <f t="shared" si="28"/>
        <v>1</v>
      </c>
      <c r="BF34" s="138">
        <f t="shared" si="29"/>
        <v>0</v>
      </c>
      <c r="BG34" s="138">
        <f t="shared" si="30"/>
        <v>0</v>
      </c>
      <c r="BH34" s="138">
        <f t="shared" si="31"/>
        <v>1</v>
      </c>
      <c r="BI34" s="138">
        <f t="shared" si="32"/>
        <v>0</v>
      </c>
      <c r="BJ34" s="138">
        <f t="shared" si="33"/>
        <v>0</v>
      </c>
      <c r="BK34" s="138">
        <f t="shared" si="34"/>
        <v>13</v>
      </c>
      <c r="BL34" s="138">
        <f t="shared" si="35"/>
        <v>0</v>
      </c>
      <c r="BM34" s="138">
        <f t="shared" si="36"/>
        <v>0</v>
      </c>
      <c r="BN34" s="138">
        <f t="shared" si="37"/>
        <v>0</v>
      </c>
      <c r="BO34" s="124">
        <f t="shared" si="38"/>
        <v>24</v>
      </c>
    </row>
    <row r="35" spans="1:67" ht="12.75" customHeight="1">
      <c r="A35" t="str">
        <f>[1]OMIE!A35</f>
        <v>31/01/25</v>
      </c>
      <c r="B35" t="str">
        <f>[1]OMIE!B35</f>
        <v>II</v>
      </c>
      <c r="C35" t="str">
        <f>[1]OMIE!C35</f>
        <v>RE</v>
      </c>
      <c r="D35" t="str">
        <f>[1]OMIE!D35</f>
        <v>RE</v>
      </c>
      <c r="E35" t="str">
        <f>[1]OMIE!E35</f>
        <v>HI</v>
      </c>
      <c r="F35" t="str">
        <f>[1]OMIE!F35</f>
        <v>RE</v>
      </c>
      <c r="G35" t="str">
        <f>[1]OMIE!G35</f>
        <v>RE</v>
      </c>
      <c r="H35" t="str">
        <f>[1]OMIE!H35</f>
        <v>HI</v>
      </c>
      <c r="I35" t="str">
        <f>[1]OMIE!I35</f>
        <v>HI</v>
      </c>
      <c r="J35" t="str">
        <f>[1]OMIE!J35</f>
        <v>BG</v>
      </c>
      <c r="K35" t="str">
        <f>[1]OMIE!K35</f>
        <v>HI</v>
      </c>
      <c r="L35" t="str">
        <f>[1]OMIE!L35</f>
        <v>RE</v>
      </c>
      <c r="M35" t="str">
        <f>[1]OMIE!M35</f>
        <v>RE</v>
      </c>
      <c r="N35" t="str">
        <f>[1]OMIE!N35</f>
        <v>RE</v>
      </c>
      <c r="O35" t="str">
        <f>[1]OMIE!O35</f>
        <v>RE</v>
      </c>
      <c r="P35" t="str">
        <f>[1]OMIE!P35</f>
        <v>RE</v>
      </c>
      <c r="Q35" t="str">
        <f>[1]OMIE!Q35</f>
        <v>RE</v>
      </c>
      <c r="R35" t="str">
        <f>[1]OMIE!R35</f>
        <v>RE</v>
      </c>
      <c r="S35" t="str">
        <f>[1]OMIE!S35</f>
        <v>HI</v>
      </c>
      <c r="T35" t="str">
        <f>[1]OMIE!T35</f>
        <v>HI</v>
      </c>
      <c r="U35" t="str">
        <f>[1]OMIE!U35</f>
        <v>HI</v>
      </c>
      <c r="V35" t="str">
        <f>[1]OMIE!V35</f>
        <v>HI</v>
      </c>
      <c r="W35" t="str">
        <f>[1]OMIE!W35</f>
        <v>HI</v>
      </c>
      <c r="X35" t="str">
        <f>[1]OMIE!X35</f>
        <v>HI</v>
      </c>
      <c r="Y35" t="str">
        <f>[1]OMIE!Y35</f>
        <v>HI</v>
      </c>
      <c r="AA35" s="120">
        <f t="shared" si="1"/>
        <v>1</v>
      </c>
      <c r="AB35" s="120">
        <f t="shared" si="2"/>
        <v>1</v>
      </c>
      <c r="AC35" s="120">
        <f t="shared" si="3"/>
        <v>1</v>
      </c>
      <c r="AD35" s="120">
        <f t="shared" si="4"/>
        <v>1</v>
      </c>
      <c r="AE35" s="120">
        <f t="shared" si="5"/>
        <v>1</v>
      </c>
      <c r="AF35" s="120">
        <f t="shared" si="6"/>
        <v>1</v>
      </c>
      <c r="AG35" s="120">
        <f t="shared" si="7"/>
        <v>1</v>
      </c>
      <c r="AH35" s="120">
        <f t="shared" si="8"/>
        <v>1</v>
      </c>
      <c r="AI35" s="120">
        <f t="shared" si="9"/>
        <v>1</v>
      </c>
      <c r="AJ35" s="120">
        <f t="shared" si="10"/>
        <v>1</v>
      </c>
      <c r="AK35" s="120">
        <f t="shared" si="11"/>
        <v>1</v>
      </c>
      <c r="AL35" s="120">
        <f t="shared" si="12"/>
        <v>1</v>
      </c>
      <c r="AM35" s="120">
        <f t="shared" si="13"/>
        <v>1</v>
      </c>
      <c r="AN35" s="120">
        <f t="shared" si="14"/>
        <v>1</v>
      </c>
      <c r="AO35" s="120">
        <f t="shared" si="15"/>
        <v>1</v>
      </c>
      <c r="AP35" s="120">
        <f t="shared" si="16"/>
        <v>1</v>
      </c>
      <c r="AQ35" s="120">
        <f t="shared" si="17"/>
        <v>1</v>
      </c>
      <c r="AR35" s="120">
        <f t="shared" si="18"/>
        <v>1</v>
      </c>
      <c r="AS35" s="120">
        <f t="shared" si="19"/>
        <v>1</v>
      </c>
      <c r="AT35" s="120">
        <f t="shared" si="20"/>
        <v>1</v>
      </c>
      <c r="AU35" s="120">
        <f t="shared" si="21"/>
        <v>1</v>
      </c>
      <c r="AV35" s="120">
        <f t="shared" si="22"/>
        <v>1</v>
      </c>
      <c r="AW35" s="120">
        <f t="shared" si="23"/>
        <v>1</v>
      </c>
      <c r="AX35" s="120">
        <f t="shared" si="24"/>
        <v>1</v>
      </c>
      <c r="AY35" s="120">
        <f t="shared" si="25"/>
        <v>24</v>
      </c>
      <c r="BC35" s="136" t="str">
        <f t="shared" si="26"/>
        <v>30/01/25</v>
      </c>
      <c r="BD35" s="138">
        <f>AY166</f>
        <v>7</v>
      </c>
      <c r="BE35" s="138">
        <f t="shared" si="28"/>
        <v>2</v>
      </c>
      <c r="BF35" s="138">
        <f t="shared" si="29"/>
        <v>0</v>
      </c>
      <c r="BG35" s="138">
        <f t="shared" si="30"/>
        <v>0</v>
      </c>
      <c r="BH35" s="138">
        <f t="shared" si="31"/>
        <v>0</v>
      </c>
      <c r="BI35" s="138">
        <f t="shared" si="32"/>
        <v>0</v>
      </c>
      <c r="BJ35" s="138">
        <f t="shared" si="33"/>
        <v>0</v>
      </c>
      <c r="BK35" s="138">
        <f t="shared" si="34"/>
        <v>15</v>
      </c>
      <c r="BL35" s="138">
        <f t="shared" si="35"/>
        <v>0</v>
      </c>
      <c r="BM35" s="138">
        <f t="shared" si="36"/>
        <v>0</v>
      </c>
      <c r="BN35" s="138">
        <f t="shared" si="37"/>
        <v>0</v>
      </c>
      <c r="BO35" s="124">
        <f t="shared" si="38"/>
        <v>24</v>
      </c>
    </row>
    <row r="36" spans="1:67">
      <c r="BC36" s="136" t="str">
        <f t="shared" ref="BC36" si="39">A35</f>
        <v>31/01/25</v>
      </c>
      <c r="BD36" s="138">
        <f t="shared" ref="BD36" si="40">AY167</f>
        <v>11</v>
      </c>
      <c r="BE36" s="138">
        <f t="shared" ref="BE36" si="41">AY68</f>
        <v>1</v>
      </c>
      <c r="BF36" s="138">
        <f t="shared" ref="BF36" si="42">AY233</f>
        <v>0</v>
      </c>
      <c r="BG36" s="138">
        <f t="shared" ref="BG36" si="43">AY266</f>
        <v>0</v>
      </c>
      <c r="BH36" s="138">
        <f t="shared" ref="BH36" si="44">AY332</f>
        <v>0</v>
      </c>
      <c r="BI36" s="138">
        <f t="shared" ref="BI36" si="45">AY365</f>
        <v>0</v>
      </c>
      <c r="BJ36" s="138">
        <f t="shared" ref="BJ36" si="46">AY200</f>
        <v>1</v>
      </c>
      <c r="BK36" s="138">
        <f t="shared" ref="BK36" si="47">AY299</f>
        <v>11</v>
      </c>
      <c r="BL36" s="138">
        <f t="shared" ref="BL36" si="48">AY101</f>
        <v>0</v>
      </c>
      <c r="BM36" s="138">
        <f t="shared" ref="BM36" si="49">AY134</f>
        <v>0</v>
      </c>
      <c r="BN36" s="138">
        <f t="shared" si="37"/>
        <v>0</v>
      </c>
      <c r="BO36" s="124">
        <f t="shared" si="38"/>
        <v>24</v>
      </c>
    </row>
    <row r="37" spans="1:67">
      <c r="A37" s="134" t="s">
        <v>131</v>
      </c>
      <c r="BD37" s="273"/>
      <c r="BE37" s="274"/>
      <c r="BF37" s="274"/>
      <c r="BG37" s="274"/>
      <c r="BH37" s="274"/>
      <c r="BI37" s="274"/>
      <c r="BJ37" s="274"/>
      <c r="BK37" s="274"/>
      <c r="BL37" s="274"/>
      <c r="BM37" s="275"/>
      <c r="BN37" s="206"/>
      <c r="BO37" s="124"/>
    </row>
    <row r="38" spans="1:67">
      <c r="A38" s="120" t="s">
        <v>143</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0</v>
      </c>
      <c r="X38" s="120">
        <f t="shared" si="50"/>
        <v>0</v>
      </c>
      <c r="Y38" s="120">
        <f t="shared" si="50"/>
        <v>0</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0</v>
      </c>
      <c r="AW38" s="120">
        <f t="shared" si="51"/>
        <v>0</v>
      </c>
      <c r="AX38" s="120">
        <f t="shared" si="51"/>
        <v>0</v>
      </c>
      <c r="AY38" s="120">
        <f t="shared" ref="AY38:AY68" si="52">SUM(AA38:AX38)</f>
        <v>0</v>
      </c>
      <c r="AZ38" s="20" t="s">
        <v>131</v>
      </c>
      <c r="BD38" s="137">
        <f>(100-SUM(BE38:BN38))</f>
        <v>46.684587813620077</v>
      </c>
      <c r="BE38" s="137">
        <f>(BE39/BO39)*100</f>
        <v>8.5797491039426514</v>
      </c>
      <c r="BF38" s="137">
        <f>(BF39/BO39)*100</f>
        <v>0</v>
      </c>
      <c r="BG38" s="137">
        <f>(BG39/BO39)*100</f>
        <v>0.13440860215053765</v>
      </c>
      <c r="BH38" s="137">
        <f>(BH39/BO39)*100</f>
        <v>9.341397849462366</v>
      </c>
      <c r="BI38" s="137">
        <f>(BI39/BO39)*100</f>
        <v>0.40322580645161288</v>
      </c>
      <c r="BJ38" s="137">
        <f>(BJ39/BO39)*100</f>
        <v>0.26881720430107531</v>
      </c>
      <c r="BK38" s="137">
        <f>(BK39/BO39)*100</f>
        <v>34.318996415770606</v>
      </c>
      <c r="BL38" s="125">
        <f>(BL39/BO39)*100</f>
        <v>0</v>
      </c>
      <c r="BM38" s="125">
        <f>(BM39/BO39)*100</f>
        <v>0</v>
      </c>
      <c r="BN38" s="137">
        <f>(BN39/BO39)*100</f>
        <v>0.26881720430107531</v>
      </c>
      <c r="BO38" s="124">
        <f>SUM(BD38:BN38)</f>
        <v>99.999999999999986</v>
      </c>
    </row>
    <row r="39" spans="1:67">
      <c r="A39" s="120" t="s">
        <v>144</v>
      </c>
      <c r="B39" s="120">
        <f t="shared" ref="B39:Y39" si="53">IF(IFERROR(FIND($A$37,B6,1),0)=0,0,1)</f>
        <v>0</v>
      </c>
      <c r="C39" s="120">
        <f t="shared" si="53"/>
        <v>0</v>
      </c>
      <c r="D39" s="120">
        <f t="shared" si="53"/>
        <v>0</v>
      </c>
      <c r="E39" s="120">
        <f t="shared" si="53"/>
        <v>0</v>
      </c>
      <c r="F39" s="120">
        <f t="shared" si="53"/>
        <v>0</v>
      </c>
      <c r="G39" s="120">
        <f t="shared" si="53"/>
        <v>0</v>
      </c>
      <c r="H39" s="120">
        <f t="shared" si="53"/>
        <v>0</v>
      </c>
      <c r="I39" s="120">
        <f t="shared" si="53"/>
        <v>0</v>
      </c>
      <c r="J39" s="120">
        <f t="shared" si="53"/>
        <v>1</v>
      </c>
      <c r="K39" s="120">
        <f t="shared" si="53"/>
        <v>0</v>
      </c>
      <c r="L39" s="120">
        <f t="shared" si="53"/>
        <v>0</v>
      </c>
      <c r="M39" s="120">
        <f t="shared" si="53"/>
        <v>1</v>
      </c>
      <c r="N39" s="120">
        <f t="shared" si="53"/>
        <v>1</v>
      </c>
      <c r="O39" s="120">
        <f t="shared" si="53"/>
        <v>0</v>
      </c>
      <c r="P39" s="120">
        <f t="shared" si="53"/>
        <v>1</v>
      </c>
      <c r="Q39" s="120">
        <f t="shared" si="53"/>
        <v>0</v>
      </c>
      <c r="R39" s="120">
        <f t="shared" si="53"/>
        <v>0</v>
      </c>
      <c r="S39" s="120">
        <f t="shared" si="53"/>
        <v>1</v>
      </c>
      <c r="T39" s="120">
        <f t="shared" si="53"/>
        <v>0</v>
      </c>
      <c r="U39" s="120">
        <f t="shared" si="53"/>
        <v>0</v>
      </c>
      <c r="V39" s="120">
        <f t="shared" si="53"/>
        <v>0</v>
      </c>
      <c r="W39" s="120">
        <f t="shared" si="53"/>
        <v>0</v>
      </c>
      <c r="X39" s="120">
        <f t="shared" si="53"/>
        <v>1</v>
      </c>
      <c r="Y39" s="120">
        <f t="shared" si="53"/>
        <v>1</v>
      </c>
      <c r="AA39" s="120">
        <f t="shared" si="51"/>
        <v>0</v>
      </c>
      <c r="AB39" s="120">
        <f t="shared" si="51"/>
        <v>0</v>
      </c>
      <c r="AC39" s="120">
        <f t="shared" si="51"/>
        <v>0</v>
      </c>
      <c r="AD39" s="120">
        <f t="shared" si="51"/>
        <v>0</v>
      </c>
      <c r="AE39" s="120">
        <f t="shared" si="51"/>
        <v>0</v>
      </c>
      <c r="AF39" s="120">
        <f t="shared" si="51"/>
        <v>0</v>
      </c>
      <c r="AG39" s="120">
        <f t="shared" si="51"/>
        <v>0</v>
      </c>
      <c r="AH39" s="120">
        <f t="shared" si="51"/>
        <v>0</v>
      </c>
      <c r="AI39" s="120">
        <f t="shared" si="51"/>
        <v>1</v>
      </c>
      <c r="AJ39" s="120">
        <f t="shared" si="51"/>
        <v>0</v>
      </c>
      <c r="AK39" s="120">
        <f t="shared" si="51"/>
        <v>0</v>
      </c>
      <c r="AL39" s="120">
        <f t="shared" si="51"/>
        <v>1</v>
      </c>
      <c r="AM39" s="120">
        <f t="shared" si="51"/>
        <v>1</v>
      </c>
      <c r="AN39" s="120">
        <f t="shared" si="51"/>
        <v>0</v>
      </c>
      <c r="AO39" s="120">
        <f t="shared" si="51"/>
        <v>1</v>
      </c>
      <c r="AP39" s="120">
        <f t="shared" si="51"/>
        <v>0</v>
      </c>
      <c r="AQ39" s="120">
        <f t="shared" si="51"/>
        <v>0</v>
      </c>
      <c r="AR39" s="120">
        <f t="shared" si="51"/>
        <v>0.5</v>
      </c>
      <c r="AS39" s="120">
        <f t="shared" si="51"/>
        <v>0</v>
      </c>
      <c r="AT39" s="120">
        <f t="shared" si="51"/>
        <v>0</v>
      </c>
      <c r="AU39" s="120">
        <f t="shared" si="51"/>
        <v>0</v>
      </c>
      <c r="AV39" s="120">
        <f t="shared" si="51"/>
        <v>0</v>
      </c>
      <c r="AW39" s="120">
        <f t="shared" si="51"/>
        <v>0.5</v>
      </c>
      <c r="AX39" s="120">
        <f t="shared" si="51"/>
        <v>1</v>
      </c>
      <c r="AY39" s="120">
        <f t="shared" si="52"/>
        <v>6</v>
      </c>
      <c r="AZ39" s="20" t="s">
        <v>131</v>
      </c>
      <c r="BD39" s="126">
        <f>SUM(BD6:BD36)</f>
        <v>347.33333333333337</v>
      </c>
      <c r="BE39" s="126">
        <f t="shared" ref="BE39:BM39" si="54">SUM(BE6:BE36)</f>
        <v>63.833333333333329</v>
      </c>
      <c r="BF39" s="126">
        <f t="shared" si="54"/>
        <v>0</v>
      </c>
      <c r="BG39" s="126">
        <f t="shared" si="54"/>
        <v>1</v>
      </c>
      <c r="BH39" s="126">
        <f t="shared" si="54"/>
        <v>69.5</v>
      </c>
      <c r="BI39" s="126">
        <f t="shared" si="54"/>
        <v>3</v>
      </c>
      <c r="BJ39" s="126">
        <f t="shared" si="54"/>
        <v>2</v>
      </c>
      <c r="BK39" s="126">
        <f>SUM(BK6:BK36)</f>
        <v>255.33333333333334</v>
      </c>
      <c r="BL39" s="126">
        <f t="shared" si="54"/>
        <v>0</v>
      </c>
      <c r="BM39" s="126">
        <f t="shared" si="54"/>
        <v>0</v>
      </c>
      <c r="BN39" s="126">
        <f>SUM(BN6:BN36)</f>
        <v>2</v>
      </c>
      <c r="BO39" s="127">
        <f>SUM(BO6:BO36)</f>
        <v>744</v>
      </c>
    </row>
    <row r="40" spans="1:67">
      <c r="A40" s="120" t="s">
        <v>145</v>
      </c>
      <c r="B40" s="120">
        <f t="shared" ref="B40:Y40" si="55">IF(IFERROR(FIND($A$37,B7,1),0)=0,0,1)</f>
        <v>0</v>
      </c>
      <c r="C40" s="120">
        <f t="shared" si="55"/>
        <v>1</v>
      </c>
      <c r="D40" s="120">
        <f t="shared" si="55"/>
        <v>0</v>
      </c>
      <c r="E40" s="120">
        <f t="shared" si="55"/>
        <v>0</v>
      </c>
      <c r="F40" s="120">
        <f t="shared" si="55"/>
        <v>0</v>
      </c>
      <c r="G40" s="120">
        <f t="shared" si="55"/>
        <v>0</v>
      </c>
      <c r="H40" s="120">
        <f t="shared" si="55"/>
        <v>0</v>
      </c>
      <c r="I40" s="120">
        <f t="shared" si="55"/>
        <v>0</v>
      </c>
      <c r="J40" s="120">
        <f t="shared" si="55"/>
        <v>0</v>
      </c>
      <c r="K40" s="120">
        <f t="shared" si="55"/>
        <v>0</v>
      </c>
      <c r="L40" s="120">
        <f t="shared" si="55"/>
        <v>0</v>
      </c>
      <c r="M40" s="120">
        <f t="shared" si="55"/>
        <v>1</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0</v>
      </c>
      <c r="W40" s="120">
        <f t="shared" si="55"/>
        <v>0</v>
      </c>
      <c r="X40" s="120">
        <f t="shared" si="55"/>
        <v>0</v>
      </c>
      <c r="Y40" s="120">
        <f t="shared" si="55"/>
        <v>0</v>
      </c>
      <c r="AA40" s="120">
        <f t="shared" si="51"/>
        <v>0</v>
      </c>
      <c r="AB40" s="120">
        <f t="shared" si="51"/>
        <v>1</v>
      </c>
      <c r="AC40" s="120">
        <f t="shared" si="51"/>
        <v>0</v>
      </c>
      <c r="AD40" s="120">
        <f t="shared" si="51"/>
        <v>0</v>
      </c>
      <c r="AE40" s="120">
        <f t="shared" si="51"/>
        <v>0</v>
      </c>
      <c r="AF40" s="120">
        <f t="shared" si="51"/>
        <v>0</v>
      </c>
      <c r="AG40" s="120">
        <f t="shared" si="51"/>
        <v>0</v>
      </c>
      <c r="AH40" s="120">
        <f t="shared" si="51"/>
        <v>0</v>
      </c>
      <c r="AI40" s="120">
        <f t="shared" si="51"/>
        <v>0</v>
      </c>
      <c r="AJ40" s="120">
        <f t="shared" si="51"/>
        <v>0</v>
      </c>
      <c r="AK40" s="120">
        <f t="shared" si="51"/>
        <v>0</v>
      </c>
      <c r="AL40" s="120">
        <f t="shared" si="51"/>
        <v>1</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0</v>
      </c>
      <c r="AV40" s="120">
        <f t="shared" si="51"/>
        <v>0</v>
      </c>
      <c r="AW40" s="120">
        <f t="shared" si="51"/>
        <v>0</v>
      </c>
      <c r="AX40" s="120">
        <f t="shared" si="51"/>
        <v>0</v>
      </c>
      <c r="AY40" s="120">
        <f t="shared" si="52"/>
        <v>2</v>
      </c>
      <c r="AZ40" s="20" t="s">
        <v>131</v>
      </c>
      <c r="BD40" s="128"/>
      <c r="BE40" s="128"/>
      <c r="BF40" s="128"/>
      <c r="BG40" s="128"/>
      <c r="BH40" s="128"/>
      <c r="BI40" s="128"/>
      <c r="BJ40" s="128"/>
      <c r="BK40" s="128"/>
      <c r="BL40" s="128"/>
      <c r="BM40" s="128"/>
      <c r="BN40" s="128"/>
      <c r="BO40" s="129"/>
    </row>
    <row r="41" spans="1:67">
      <c r="A41" s="120" t="s">
        <v>146</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1</v>
      </c>
      <c r="M41" s="120">
        <f t="shared" si="56"/>
        <v>0</v>
      </c>
      <c r="N41" s="120">
        <f t="shared" si="56"/>
        <v>0</v>
      </c>
      <c r="O41" s="120">
        <f t="shared" si="56"/>
        <v>0</v>
      </c>
      <c r="P41" s="120">
        <f t="shared" si="56"/>
        <v>0</v>
      </c>
      <c r="Q41" s="120">
        <f t="shared" si="56"/>
        <v>0</v>
      </c>
      <c r="R41" s="120">
        <f t="shared" si="56"/>
        <v>1</v>
      </c>
      <c r="S41" s="120">
        <f t="shared" si="56"/>
        <v>0</v>
      </c>
      <c r="T41" s="120">
        <f t="shared" si="56"/>
        <v>0</v>
      </c>
      <c r="U41" s="120">
        <f t="shared" si="56"/>
        <v>0</v>
      </c>
      <c r="V41" s="120">
        <f t="shared" si="56"/>
        <v>0</v>
      </c>
      <c r="W41" s="120">
        <f t="shared" si="56"/>
        <v>0</v>
      </c>
      <c r="X41" s="120">
        <f t="shared" si="56"/>
        <v>1</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1</v>
      </c>
      <c r="AL41" s="120">
        <f t="shared" si="51"/>
        <v>0</v>
      </c>
      <c r="AM41" s="120">
        <f t="shared" si="51"/>
        <v>0</v>
      </c>
      <c r="AN41" s="120">
        <f t="shared" si="51"/>
        <v>0</v>
      </c>
      <c r="AO41" s="120">
        <f t="shared" si="51"/>
        <v>0</v>
      </c>
      <c r="AP41" s="120">
        <f t="shared" si="51"/>
        <v>0</v>
      </c>
      <c r="AQ41" s="120">
        <f t="shared" si="51"/>
        <v>1</v>
      </c>
      <c r="AR41" s="120">
        <f t="shared" si="51"/>
        <v>0</v>
      </c>
      <c r="AS41" s="120">
        <f t="shared" si="51"/>
        <v>0</v>
      </c>
      <c r="AT41" s="120">
        <f t="shared" si="51"/>
        <v>0</v>
      </c>
      <c r="AU41" s="120">
        <f t="shared" si="51"/>
        <v>0</v>
      </c>
      <c r="AV41" s="120">
        <f t="shared" si="51"/>
        <v>0</v>
      </c>
      <c r="AW41" s="120">
        <f t="shared" si="51"/>
        <v>1</v>
      </c>
      <c r="AX41" s="120">
        <f t="shared" si="51"/>
        <v>0</v>
      </c>
      <c r="AY41" s="120">
        <f t="shared" si="52"/>
        <v>3</v>
      </c>
      <c r="AZ41" s="20" t="s">
        <v>131</v>
      </c>
    </row>
    <row r="42" spans="1:67">
      <c r="A42" s="120" t="s">
        <v>147</v>
      </c>
      <c r="B42" s="120">
        <f t="shared" ref="B42:Y42" si="57">IF(IFERROR(FIND($A$37,B9,1),0)=0,0,1)</f>
        <v>0</v>
      </c>
      <c r="C42" s="120">
        <f t="shared" si="57"/>
        <v>0</v>
      </c>
      <c r="D42" s="120">
        <f t="shared" si="57"/>
        <v>0</v>
      </c>
      <c r="E42" s="120">
        <f t="shared" si="57"/>
        <v>0</v>
      </c>
      <c r="F42" s="120">
        <f t="shared" si="57"/>
        <v>0</v>
      </c>
      <c r="G42" s="120">
        <f t="shared" si="57"/>
        <v>0</v>
      </c>
      <c r="H42" s="120">
        <f t="shared" si="57"/>
        <v>0</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0</v>
      </c>
      <c r="AA42" s="120">
        <f t="shared" si="51"/>
        <v>0</v>
      </c>
      <c r="AB42" s="120">
        <f t="shared" si="51"/>
        <v>0</v>
      </c>
      <c r="AC42" s="120">
        <f t="shared" si="51"/>
        <v>0</v>
      </c>
      <c r="AD42" s="120">
        <f t="shared" si="51"/>
        <v>0</v>
      </c>
      <c r="AE42" s="120">
        <f t="shared" si="51"/>
        <v>0</v>
      </c>
      <c r="AF42" s="120">
        <f t="shared" si="51"/>
        <v>0</v>
      </c>
      <c r="AG42" s="120">
        <f t="shared" si="51"/>
        <v>0</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0</v>
      </c>
      <c r="AY42" s="120">
        <f t="shared" si="52"/>
        <v>0</v>
      </c>
      <c r="AZ42" s="20" t="s">
        <v>131</v>
      </c>
    </row>
    <row r="43" spans="1:67">
      <c r="A43" s="120" t="s">
        <v>148</v>
      </c>
      <c r="B43" s="120">
        <f t="shared" ref="B43:Y43" si="58">IF(IFERROR(FIND($A$37,B10,1),0)=0,0,1)</f>
        <v>0</v>
      </c>
      <c r="C43" s="120">
        <f t="shared" si="58"/>
        <v>0</v>
      </c>
      <c r="D43" s="120">
        <f t="shared" si="58"/>
        <v>1</v>
      </c>
      <c r="E43" s="120">
        <f t="shared" si="58"/>
        <v>0</v>
      </c>
      <c r="F43" s="120">
        <f t="shared" si="58"/>
        <v>0</v>
      </c>
      <c r="G43" s="120">
        <f t="shared" si="58"/>
        <v>1</v>
      </c>
      <c r="H43" s="120">
        <f t="shared" si="58"/>
        <v>0</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1</v>
      </c>
      <c r="U43" s="120">
        <f t="shared" si="58"/>
        <v>0</v>
      </c>
      <c r="V43" s="120">
        <f t="shared" si="58"/>
        <v>0</v>
      </c>
      <c r="W43" s="120">
        <f t="shared" si="58"/>
        <v>0</v>
      </c>
      <c r="X43" s="120">
        <f t="shared" si="58"/>
        <v>0</v>
      </c>
      <c r="Y43" s="120">
        <f t="shared" si="58"/>
        <v>0</v>
      </c>
      <c r="AA43" s="120">
        <f t="shared" si="51"/>
        <v>0</v>
      </c>
      <c r="AB43" s="120">
        <f t="shared" si="51"/>
        <v>0</v>
      </c>
      <c r="AC43" s="120">
        <f t="shared" si="51"/>
        <v>0.5</v>
      </c>
      <c r="AD43" s="120">
        <f t="shared" si="51"/>
        <v>0</v>
      </c>
      <c r="AE43" s="120">
        <f t="shared" si="51"/>
        <v>0</v>
      </c>
      <c r="AF43" s="120">
        <f t="shared" si="51"/>
        <v>0.5</v>
      </c>
      <c r="AG43" s="120">
        <f t="shared" si="51"/>
        <v>0</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1</v>
      </c>
      <c r="AT43" s="120">
        <f t="shared" si="51"/>
        <v>0</v>
      </c>
      <c r="AU43" s="120">
        <f t="shared" si="51"/>
        <v>0</v>
      </c>
      <c r="AV43" s="120">
        <f t="shared" si="51"/>
        <v>0</v>
      </c>
      <c r="AW43" s="120">
        <f t="shared" si="51"/>
        <v>0</v>
      </c>
      <c r="AX43" s="120">
        <f t="shared" si="51"/>
        <v>0</v>
      </c>
      <c r="AY43" s="120">
        <f t="shared" si="52"/>
        <v>2</v>
      </c>
      <c r="AZ43" s="20" t="s">
        <v>131</v>
      </c>
    </row>
    <row r="44" spans="1:67">
      <c r="A44" s="120" t="s">
        <v>149</v>
      </c>
      <c r="B44" s="120">
        <f t="shared" ref="B44:Y44" si="59">IF(IFERROR(FIND($A$37,B11,1),0)=0,0,1)</f>
        <v>0</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1</v>
      </c>
      <c r="T44" s="120">
        <f t="shared" si="59"/>
        <v>0</v>
      </c>
      <c r="U44" s="120">
        <f t="shared" si="59"/>
        <v>0</v>
      </c>
      <c r="V44" s="120">
        <f t="shared" si="59"/>
        <v>0</v>
      </c>
      <c r="W44" s="120">
        <f t="shared" si="59"/>
        <v>1</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1</v>
      </c>
      <c r="AS44" s="120">
        <f t="shared" si="51"/>
        <v>0</v>
      </c>
      <c r="AT44" s="120">
        <f t="shared" si="51"/>
        <v>0</v>
      </c>
      <c r="AU44" s="120">
        <f t="shared" si="51"/>
        <v>0</v>
      </c>
      <c r="AV44" s="120">
        <f t="shared" si="51"/>
        <v>1</v>
      </c>
      <c r="AW44" s="120">
        <f t="shared" si="51"/>
        <v>0</v>
      </c>
      <c r="AX44" s="120">
        <f t="shared" si="51"/>
        <v>0</v>
      </c>
      <c r="AY44" s="120">
        <f t="shared" si="52"/>
        <v>2</v>
      </c>
      <c r="AZ44" s="20" t="s">
        <v>131</v>
      </c>
    </row>
    <row r="45" spans="1:67">
      <c r="A45" s="120" t="s">
        <v>150</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1</v>
      </c>
      <c r="W45" s="120">
        <f t="shared" si="60"/>
        <v>0</v>
      </c>
      <c r="X45" s="120">
        <f t="shared" si="60"/>
        <v>1</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1</v>
      </c>
      <c r="AV45" s="120">
        <f t="shared" si="51"/>
        <v>0</v>
      </c>
      <c r="AW45" s="120">
        <f t="shared" si="51"/>
        <v>1</v>
      </c>
      <c r="AX45" s="120">
        <f t="shared" si="51"/>
        <v>0</v>
      </c>
      <c r="AY45" s="120">
        <f t="shared" si="52"/>
        <v>2</v>
      </c>
      <c r="AZ45" s="20" t="s">
        <v>131</v>
      </c>
    </row>
    <row r="46" spans="1:67">
      <c r="A46" s="120" t="s">
        <v>151</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0</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v>
      </c>
      <c r="AU46" s="120">
        <f t="shared" si="51"/>
        <v>0</v>
      </c>
      <c r="AV46" s="120">
        <f t="shared" si="51"/>
        <v>0</v>
      </c>
      <c r="AW46" s="120">
        <f t="shared" si="51"/>
        <v>0</v>
      </c>
      <c r="AX46" s="120">
        <f t="shared" si="51"/>
        <v>0</v>
      </c>
      <c r="AY46" s="120">
        <f t="shared" si="52"/>
        <v>0</v>
      </c>
      <c r="AZ46" s="20" t="s">
        <v>131</v>
      </c>
    </row>
    <row r="47" spans="1:67">
      <c r="A47" s="120" t="s">
        <v>152</v>
      </c>
      <c r="B47" s="120">
        <f t="shared" ref="B47:Y47" si="62">IF(IFERROR(FIND($A$37,B14,1),0)=0,0,1)</f>
        <v>0</v>
      </c>
      <c r="C47" s="120">
        <f t="shared" si="62"/>
        <v>0</v>
      </c>
      <c r="D47" s="120">
        <f t="shared" si="62"/>
        <v>0</v>
      </c>
      <c r="E47" s="120">
        <f t="shared" si="62"/>
        <v>0</v>
      </c>
      <c r="F47" s="120">
        <f t="shared" si="62"/>
        <v>0</v>
      </c>
      <c r="G47" s="120">
        <f t="shared" si="62"/>
        <v>1</v>
      </c>
      <c r="H47" s="120">
        <f t="shared" si="62"/>
        <v>0</v>
      </c>
      <c r="I47" s="120">
        <f t="shared" si="62"/>
        <v>0</v>
      </c>
      <c r="J47" s="120">
        <f t="shared" si="62"/>
        <v>0</v>
      </c>
      <c r="K47" s="120">
        <f t="shared" si="62"/>
        <v>1</v>
      </c>
      <c r="L47" s="120">
        <f t="shared" si="62"/>
        <v>0</v>
      </c>
      <c r="M47" s="120">
        <f t="shared" si="62"/>
        <v>0</v>
      </c>
      <c r="N47" s="120">
        <f t="shared" si="62"/>
        <v>0</v>
      </c>
      <c r="O47" s="120">
        <f t="shared" si="62"/>
        <v>0</v>
      </c>
      <c r="P47" s="120">
        <f t="shared" si="62"/>
        <v>0</v>
      </c>
      <c r="Q47" s="120">
        <f t="shared" si="62"/>
        <v>0</v>
      </c>
      <c r="R47" s="120">
        <f t="shared" si="62"/>
        <v>1</v>
      </c>
      <c r="S47" s="120">
        <f t="shared" si="62"/>
        <v>0</v>
      </c>
      <c r="T47" s="120">
        <f t="shared" si="62"/>
        <v>0</v>
      </c>
      <c r="U47" s="120">
        <f t="shared" si="62"/>
        <v>0</v>
      </c>
      <c r="V47" s="120">
        <f t="shared" si="62"/>
        <v>0</v>
      </c>
      <c r="W47" s="120">
        <f t="shared" si="62"/>
        <v>0</v>
      </c>
      <c r="X47" s="120">
        <f t="shared" si="62"/>
        <v>0</v>
      </c>
      <c r="Y47" s="120">
        <f t="shared" si="62"/>
        <v>0</v>
      </c>
      <c r="AA47" s="120">
        <f t="shared" si="51"/>
        <v>0</v>
      </c>
      <c r="AB47" s="120">
        <f t="shared" si="51"/>
        <v>0</v>
      </c>
      <c r="AC47" s="120">
        <f t="shared" si="51"/>
        <v>0</v>
      </c>
      <c r="AD47" s="120">
        <f t="shared" si="51"/>
        <v>0</v>
      </c>
      <c r="AE47" s="120">
        <f t="shared" si="51"/>
        <v>0</v>
      </c>
      <c r="AF47" s="120">
        <f t="shared" si="51"/>
        <v>1</v>
      </c>
      <c r="AG47" s="120">
        <f t="shared" si="51"/>
        <v>0</v>
      </c>
      <c r="AH47" s="120">
        <f t="shared" si="51"/>
        <v>0</v>
      </c>
      <c r="AI47" s="120">
        <f t="shared" si="51"/>
        <v>0</v>
      </c>
      <c r="AJ47" s="120">
        <f t="shared" si="51"/>
        <v>1</v>
      </c>
      <c r="AK47" s="120">
        <f t="shared" si="51"/>
        <v>0</v>
      </c>
      <c r="AL47" s="120">
        <f t="shared" si="51"/>
        <v>0</v>
      </c>
      <c r="AM47" s="120">
        <f t="shared" si="51"/>
        <v>0</v>
      </c>
      <c r="AN47" s="120">
        <f t="shared" si="51"/>
        <v>0</v>
      </c>
      <c r="AO47" s="120">
        <f t="shared" si="51"/>
        <v>0</v>
      </c>
      <c r="AP47" s="120">
        <f t="shared" si="51"/>
        <v>0</v>
      </c>
      <c r="AQ47" s="120">
        <f t="shared" si="51"/>
        <v>1</v>
      </c>
      <c r="AR47" s="120">
        <f t="shared" si="51"/>
        <v>0</v>
      </c>
      <c r="AS47" s="120">
        <f t="shared" si="51"/>
        <v>0</v>
      </c>
      <c r="AT47" s="120">
        <f t="shared" si="51"/>
        <v>0</v>
      </c>
      <c r="AU47" s="120">
        <f t="shared" si="51"/>
        <v>0</v>
      </c>
      <c r="AV47" s="120">
        <f t="shared" si="51"/>
        <v>0</v>
      </c>
      <c r="AW47" s="120">
        <f t="shared" si="51"/>
        <v>0</v>
      </c>
      <c r="AX47" s="120">
        <f t="shared" si="51"/>
        <v>0</v>
      </c>
      <c r="AY47" s="120">
        <f t="shared" si="52"/>
        <v>3</v>
      </c>
      <c r="AZ47" s="20" t="s">
        <v>131</v>
      </c>
    </row>
    <row r="48" spans="1:67">
      <c r="A48" s="120" t="s">
        <v>153</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1</v>
      </c>
      <c r="J48" s="120">
        <f t="shared" si="63"/>
        <v>0</v>
      </c>
      <c r="K48" s="120">
        <f t="shared" si="63"/>
        <v>0</v>
      </c>
      <c r="L48" s="120">
        <f t="shared" si="63"/>
        <v>0</v>
      </c>
      <c r="M48" s="120">
        <f t="shared" si="63"/>
        <v>1</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0</v>
      </c>
      <c r="W48" s="120">
        <f t="shared" si="63"/>
        <v>0</v>
      </c>
      <c r="X48" s="120">
        <f t="shared" si="63"/>
        <v>0</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1</v>
      </c>
      <c r="AI48" s="120">
        <f t="shared" si="51"/>
        <v>0</v>
      </c>
      <c r="AJ48" s="120">
        <f t="shared" si="51"/>
        <v>0</v>
      </c>
      <c r="AK48" s="120">
        <f t="shared" si="51"/>
        <v>0</v>
      </c>
      <c r="AL48" s="120">
        <f t="shared" si="51"/>
        <v>1</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0</v>
      </c>
      <c r="AV48" s="120">
        <f t="shared" si="64"/>
        <v>0</v>
      </c>
      <c r="AW48" s="120">
        <f t="shared" si="64"/>
        <v>0</v>
      </c>
      <c r="AX48" s="120">
        <f t="shared" si="64"/>
        <v>0</v>
      </c>
      <c r="AY48" s="120">
        <f t="shared" si="52"/>
        <v>2</v>
      </c>
      <c r="AZ48" s="20" t="s">
        <v>131</v>
      </c>
    </row>
    <row r="49" spans="1:52">
      <c r="A49" s="120" t="s">
        <v>154</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0</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1</v>
      </c>
      <c r="U49" s="120">
        <f t="shared" si="65"/>
        <v>0</v>
      </c>
      <c r="V49" s="120">
        <f t="shared" si="65"/>
        <v>0</v>
      </c>
      <c r="W49" s="120">
        <f t="shared" si="65"/>
        <v>0</v>
      </c>
      <c r="X49" s="120">
        <f t="shared" si="65"/>
        <v>1</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0</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1</v>
      </c>
      <c r="AT49" s="120">
        <f t="shared" si="64"/>
        <v>0</v>
      </c>
      <c r="AU49" s="120">
        <f t="shared" si="64"/>
        <v>0</v>
      </c>
      <c r="AV49" s="120">
        <f t="shared" si="64"/>
        <v>0</v>
      </c>
      <c r="AW49" s="120">
        <f t="shared" si="64"/>
        <v>1</v>
      </c>
      <c r="AX49" s="120">
        <f t="shared" si="64"/>
        <v>0</v>
      </c>
      <c r="AY49" s="120">
        <f t="shared" si="52"/>
        <v>2</v>
      </c>
      <c r="AZ49" s="20" t="s">
        <v>131</v>
      </c>
    </row>
    <row r="50" spans="1:52">
      <c r="A50" s="120" t="s">
        <v>155</v>
      </c>
      <c r="B50" s="120">
        <f t="shared" ref="B50:Y50" si="67">IF(IFERROR(FIND($A$37,B17,1),0)=0,0,1)</f>
        <v>1</v>
      </c>
      <c r="C50" s="120">
        <f t="shared" si="67"/>
        <v>0</v>
      </c>
      <c r="D50" s="120">
        <f t="shared" si="67"/>
        <v>0</v>
      </c>
      <c r="E50" s="120">
        <f t="shared" si="67"/>
        <v>0</v>
      </c>
      <c r="F50" s="120">
        <f t="shared" si="67"/>
        <v>0</v>
      </c>
      <c r="G50" s="120">
        <f t="shared" si="67"/>
        <v>0</v>
      </c>
      <c r="H50" s="120">
        <f t="shared" si="67"/>
        <v>0</v>
      </c>
      <c r="I50" s="120">
        <f t="shared" si="67"/>
        <v>0</v>
      </c>
      <c r="J50" s="120">
        <f t="shared" si="67"/>
        <v>1</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0</v>
      </c>
      <c r="Y50" s="120">
        <f t="shared" si="67"/>
        <v>0</v>
      </c>
      <c r="AA50" s="120">
        <f t="shared" si="66"/>
        <v>1</v>
      </c>
      <c r="AB50" s="120">
        <f t="shared" si="66"/>
        <v>0</v>
      </c>
      <c r="AC50" s="120">
        <f t="shared" si="66"/>
        <v>0</v>
      </c>
      <c r="AD50" s="120">
        <f t="shared" si="66"/>
        <v>0</v>
      </c>
      <c r="AE50" s="120">
        <f t="shared" si="66"/>
        <v>0</v>
      </c>
      <c r="AF50" s="120">
        <f t="shared" si="66"/>
        <v>0</v>
      </c>
      <c r="AG50" s="120">
        <f t="shared" si="66"/>
        <v>0</v>
      </c>
      <c r="AH50" s="120">
        <f t="shared" si="66"/>
        <v>0</v>
      </c>
      <c r="AI50" s="120">
        <f t="shared" si="66"/>
        <v>1</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0</v>
      </c>
      <c r="AX50" s="120">
        <f t="shared" si="64"/>
        <v>0</v>
      </c>
      <c r="AY50" s="120">
        <f t="shared" si="52"/>
        <v>2</v>
      </c>
      <c r="AZ50" s="20" t="s">
        <v>131</v>
      </c>
    </row>
    <row r="51" spans="1:52">
      <c r="A51" s="120" t="s">
        <v>156</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0</v>
      </c>
      <c r="AY51" s="120">
        <f t="shared" si="52"/>
        <v>0</v>
      </c>
      <c r="AZ51" s="20" t="s">
        <v>131</v>
      </c>
    </row>
    <row r="52" spans="1:52">
      <c r="A52" s="120" t="s">
        <v>157</v>
      </c>
      <c r="B52" s="120">
        <f t="shared" ref="B52:Y52" si="69">IF(IFERROR(FIND($A$37,B19,1),0)=0,0,1)</f>
        <v>0</v>
      </c>
      <c r="C52" s="120">
        <f t="shared" si="69"/>
        <v>1</v>
      </c>
      <c r="D52" s="120">
        <f t="shared" si="69"/>
        <v>0</v>
      </c>
      <c r="E52" s="120">
        <f t="shared" si="69"/>
        <v>0</v>
      </c>
      <c r="F52" s="120">
        <f t="shared" si="69"/>
        <v>0</v>
      </c>
      <c r="G52" s="120">
        <f t="shared" si="69"/>
        <v>0</v>
      </c>
      <c r="H52" s="120">
        <f t="shared" si="69"/>
        <v>0</v>
      </c>
      <c r="I52" s="120">
        <f t="shared" si="69"/>
        <v>0</v>
      </c>
      <c r="J52" s="120">
        <f t="shared" si="69"/>
        <v>0</v>
      </c>
      <c r="K52" s="120">
        <f t="shared" si="69"/>
        <v>1</v>
      </c>
      <c r="L52" s="120">
        <f t="shared" si="69"/>
        <v>0</v>
      </c>
      <c r="M52" s="120">
        <f t="shared" si="69"/>
        <v>0</v>
      </c>
      <c r="N52" s="120">
        <f t="shared" si="69"/>
        <v>0</v>
      </c>
      <c r="O52" s="120">
        <f t="shared" si="69"/>
        <v>1</v>
      </c>
      <c r="P52" s="120">
        <f t="shared" si="69"/>
        <v>0</v>
      </c>
      <c r="Q52" s="120">
        <f t="shared" si="69"/>
        <v>0</v>
      </c>
      <c r="R52" s="120">
        <f t="shared" si="69"/>
        <v>0</v>
      </c>
      <c r="S52" s="120">
        <f t="shared" si="69"/>
        <v>0</v>
      </c>
      <c r="T52" s="120">
        <f t="shared" si="69"/>
        <v>0</v>
      </c>
      <c r="U52" s="120">
        <f t="shared" si="69"/>
        <v>0</v>
      </c>
      <c r="V52" s="120">
        <f t="shared" si="69"/>
        <v>0</v>
      </c>
      <c r="W52" s="120">
        <f t="shared" si="69"/>
        <v>0</v>
      </c>
      <c r="X52" s="120">
        <f t="shared" si="69"/>
        <v>0</v>
      </c>
      <c r="Y52" s="120">
        <f t="shared" si="69"/>
        <v>0</v>
      </c>
      <c r="AA52" s="120">
        <f t="shared" si="66"/>
        <v>0</v>
      </c>
      <c r="AB52" s="120">
        <f t="shared" si="66"/>
        <v>1</v>
      </c>
      <c r="AC52" s="120">
        <f t="shared" si="66"/>
        <v>0</v>
      </c>
      <c r="AD52" s="120">
        <f t="shared" si="66"/>
        <v>0</v>
      </c>
      <c r="AE52" s="120">
        <f t="shared" si="66"/>
        <v>0</v>
      </c>
      <c r="AF52" s="120">
        <f t="shared" si="66"/>
        <v>0</v>
      </c>
      <c r="AG52" s="120">
        <f t="shared" si="66"/>
        <v>0</v>
      </c>
      <c r="AH52" s="120">
        <f t="shared" si="66"/>
        <v>0</v>
      </c>
      <c r="AI52" s="120">
        <f t="shared" si="66"/>
        <v>0</v>
      </c>
      <c r="AJ52" s="120">
        <f t="shared" si="66"/>
        <v>0.33333333333333331</v>
      </c>
      <c r="AK52" s="120">
        <f t="shared" si="66"/>
        <v>0</v>
      </c>
      <c r="AL52" s="120">
        <f t="shared" si="66"/>
        <v>0</v>
      </c>
      <c r="AM52" s="120">
        <f t="shared" si="66"/>
        <v>0</v>
      </c>
      <c r="AN52" s="120">
        <f t="shared" si="66"/>
        <v>1</v>
      </c>
      <c r="AO52" s="120">
        <f t="shared" si="66"/>
        <v>0</v>
      </c>
      <c r="AP52" s="120">
        <f t="shared" si="64"/>
        <v>0</v>
      </c>
      <c r="AQ52" s="120">
        <f t="shared" si="64"/>
        <v>0</v>
      </c>
      <c r="AR52" s="120">
        <f t="shared" si="64"/>
        <v>0</v>
      </c>
      <c r="AS52" s="120">
        <f t="shared" si="64"/>
        <v>0</v>
      </c>
      <c r="AT52" s="120">
        <f t="shared" si="64"/>
        <v>0</v>
      </c>
      <c r="AU52" s="120">
        <f t="shared" si="64"/>
        <v>0</v>
      </c>
      <c r="AV52" s="120">
        <f t="shared" si="64"/>
        <v>0</v>
      </c>
      <c r="AW52" s="120">
        <f t="shared" si="64"/>
        <v>0</v>
      </c>
      <c r="AX52" s="120">
        <f t="shared" si="64"/>
        <v>0</v>
      </c>
      <c r="AY52" s="120">
        <f t="shared" si="52"/>
        <v>2.333333333333333</v>
      </c>
      <c r="AZ52" s="20" t="s">
        <v>131</v>
      </c>
    </row>
    <row r="53" spans="1:52">
      <c r="A53" s="120" t="s">
        <v>158</v>
      </c>
      <c r="B53" s="120">
        <f t="shared" ref="B53:Y53" si="70">IF(IFERROR(FIND($A$37,B20,1),0)=0,0,1)</f>
        <v>0</v>
      </c>
      <c r="C53" s="120">
        <f t="shared" si="70"/>
        <v>0</v>
      </c>
      <c r="D53" s="120">
        <f t="shared" si="70"/>
        <v>0</v>
      </c>
      <c r="E53" s="120">
        <f t="shared" si="70"/>
        <v>0</v>
      </c>
      <c r="F53" s="120">
        <f t="shared" si="70"/>
        <v>0</v>
      </c>
      <c r="G53" s="120">
        <f t="shared" si="70"/>
        <v>0</v>
      </c>
      <c r="H53" s="120">
        <f t="shared" si="70"/>
        <v>0</v>
      </c>
      <c r="I53" s="120">
        <f t="shared" si="70"/>
        <v>0</v>
      </c>
      <c r="J53" s="120">
        <f t="shared" si="70"/>
        <v>1</v>
      </c>
      <c r="K53" s="120">
        <f t="shared" si="70"/>
        <v>0</v>
      </c>
      <c r="L53" s="120">
        <f t="shared" si="70"/>
        <v>1</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0</v>
      </c>
      <c r="W53" s="120">
        <f t="shared" si="70"/>
        <v>0</v>
      </c>
      <c r="X53" s="120">
        <f t="shared" si="70"/>
        <v>0</v>
      </c>
      <c r="Y53" s="120">
        <f t="shared" si="70"/>
        <v>0</v>
      </c>
      <c r="AA53" s="120">
        <f t="shared" si="66"/>
        <v>0</v>
      </c>
      <c r="AB53" s="120">
        <f t="shared" si="66"/>
        <v>0</v>
      </c>
      <c r="AC53" s="120">
        <f t="shared" si="66"/>
        <v>0</v>
      </c>
      <c r="AD53" s="120">
        <f t="shared" si="66"/>
        <v>0</v>
      </c>
      <c r="AE53" s="120">
        <f t="shared" si="66"/>
        <v>0</v>
      </c>
      <c r="AF53" s="120">
        <f t="shared" si="66"/>
        <v>0</v>
      </c>
      <c r="AG53" s="120">
        <f t="shared" si="66"/>
        <v>0</v>
      </c>
      <c r="AH53" s="120">
        <f t="shared" si="66"/>
        <v>0</v>
      </c>
      <c r="AI53" s="120">
        <f t="shared" si="66"/>
        <v>0.5</v>
      </c>
      <c r="AJ53" s="120">
        <f t="shared" si="66"/>
        <v>0</v>
      </c>
      <c r="AK53" s="120">
        <f t="shared" si="66"/>
        <v>0.5</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0</v>
      </c>
      <c r="AV53" s="120">
        <f t="shared" si="64"/>
        <v>0</v>
      </c>
      <c r="AW53" s="120">
        <f t="shared" si="64"/>
        <v>0</v>
      </c>
      <c r="AX53" s="120">
        <f t="shared" si="64"/>
        <v>0</v>
      </c>
      <c r="AY53" s="120">
        <f t="shared" si="52"/>
        <v>1</v>
      </c>
      <c r="AZ53" s="20" t="s">
        <v>131</v>
      </c>
    </row>
    <row r="54" spans="1:52">
      <c r="A54" s="120" t="s">
        <v>159</v>
      </c>
      <c r="B54" s="120">
        <f t="shared" ref="B54:Y54" si="71">IF(IFERROR(FIND($A$37,B21,1),0)=0,0,1)</f>
        <v>0</v>
      </c>
      <c r="C54" s="120">
        <f t="shared" si="71"/>
        <v>0</v>
      </c>
      <c r="D54" s="120">
        <f t="shared" si="71"/>
        <v>0</v>
      </c>
      <c r="E54" s="120">
        <f t="shared" si="71"/>
        <v>0</v>
      </c>
      <c r="F54" s="120">
        <f t="shared" si="71"/>
        <v>0</v>
      </c>
      <c r="G54" s="120">
        <f t="shared" si="71"/>
        <v>0</v>
      </c>
      <c r="H54" s="120">
        <f t="shared" si="71"/>
        <v>1</v>
      </c>
      <c r="I54" s="120">
        <f t="shared" si="71"/>
        <v>0</v>
      </c>
      <c r="J54" s="120">
        <f t="shared" si="71"/>
        <v>1</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0</v>
      </c>
      <c r="Y54" s="120">
        <f t="shared" si="71"/>
        <v>1</v>
      </c>
      <c r="AA54" s="120">
        <f t="shared" si="66"/>
        <v>0</v>
      </c>
      <c r="AB54" s="120">
        <f t="shared" si="66"/>
        <v>0</v>
      </c>
      <c r="AC54" s="120">
        <f t="shared" si="66"/>
        <v>0</v>
      </c>
      <c r="AD54" s="120">
        <f t="shared" si="66"/>
        <v>0</v>
      </c>
      <c r="AE54" s="120">
        <f t="shared" si="66"/>
        <v>0</v>
      </c>
      <c r="AF54" s="120">
        <f t="shared" si="66"/>
        <v>0</v>
      </c>
      <c r="AG54" s="120">
        <f t="shared" si="66"/>
        <v>1</v>
      </c>
      <c r="AH54" s="120">
        <f t="shared" si="66"/>
        <v>0</v>
      </c>
      <c r="AI54" s="120">
        <f t="shared" si="66"/>
        <v>0.5</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0</v>
      </c>
      <c r="AX54" s="120">
        <f t="shared" si="64"/>
        <v>1</v>
      </c>
      <c r="AY54" s="120">
        <f t="shared" si="52"/>
        <v>2.5</v>
      </c>
      <c r="AZ54" s="20" t="s">
        <v>131</v>
      </c>
    </row>
    <row r="55" spans="1:52">
      <c r="A55" s="120" t="s">
        <v>160</v>
      </c>
      <c r="B55" s="120">
        <f t="shared" ref="B55:Y55" si="72">IF(IFERROR(FIND($A$37,B22,1),0)=0,0,1)</f>
        <v>0</v>
      </c>
      <c r="C55" s="120">
        <f t="shared" si="72"/>
        <v>0</v>
      </c>
      <c r="D55" s="120">
        <f t="shared" si="72"/>
        <v>0</v>
      </c>
      <c r="E55" s="120">
        <f t="shared" si="72"/>
        <v>1</v>
      </c>
      <c r="F55" s="120">
        <f t="shared" si="72"/>
        <v>0</v>
      </c>
      <c r="G55" s="120">
        <f t="shared" si="72"/>
        <v>0</v>
      </c>
      <c r="H55" s="120">
        <f t="shared" si="72"/>
        <v>0</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1</v>
      </c>
      <c r="U55" s="120">
        <f t="shared" si="72"/>
        <v>1</v>
      </c>
      <c r="V55" s="120">
        <f t="shared" si="72"/>
        <v>0</v>
      </c>
      <c r="W55" s="120">
        <f t="shared" si="72"/>
        <v>0</v>
      </c>
      <c r="X55" s="120">
        <f t="shared" si="72"/>
        <v>0</v>
      </c>
      <c r="Y55" s="120">
        <f t="shared" si="72"/>
        <v>0</v>
      </c>
      <c r="AA55" s="120">
        <f t="shared" si="66"/>
        <v>0</v>
      </c>
      <c r="AB55" s="120">
        <f t="shared" si="66"/>
        <v>0</v>
      </c>
      <c r="AC55" s="120">
        <f t="shared" si="66"/>
        <v>0</v>
      </c>
      <c r="AD55" s="120">
        <f t="shared" si="66"/>
        <v>1</v>
      </c>
      <c r="AE55" s="120">
        <f t="shared" si="66"/>
        <v>0</v>
      </c>
      <c r="AF55" s="120">
        <f t="shared" si="66"/>
        <v>0</v>
      </c>
      <c r="AG55" s="120">
        <f t="shared" si="66"/>
        <v>0</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1</v>
      </c>
      <c r="AT55" s="120">
        <f t="shared" si="64"/>
        <v>1</v>
      </c>
      <c r="AU55" s="120">
        <f t="shared" si="64"/>
        <v>0</v>
      </c>
      <c r="AV55" s="120">
        <f t="shared" si="64"/>
        <v>0</v>
      </c>
      <c r="AW55" s="120">
        <f t="shared" si="64"/>
        <v>0</v>
      </c>
      <c r="AX55" s="120">
        <f t="shared" si="64"/>
        <v>0</v>
      </c>
      <c r="AY55" s="120">
        <f t="shared" si="52"/>
        <v>3</v>
      </c>
      <c r="AZ55" s="20" t="s">
        <v>131</v>
      </c>
    </row>
    <row r="56" spans="1:52">
      <c r="A56" s="120" t="s">
        <v>161</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1</v>
      </c>
      <c r="N56" s="120">
        <f t="shared" si="73"/>
        <v>0</v>
      </c>
      <c r="O56" s="120">
        <f t="shared" si="73"/>
        <v>0</v>
      </c>
      <c r="P56" s="120">
        <f t="shared" si="73"/>
        <v>0</v>
      </c>
      <c r="Q56" s="120">
        <f t="shared" si="73"/>
        <v>0</v>
      </c>
      <c r="R56" s="120">
        <f t="shared" si="73"/>
        <v>0</v>
      </c>
      <c r="S56" s="120">
        <f t="shared" si="73"/>
        <v>0</v>
      </c>
      <c r="T56" s="120">
        <f t="shared" si="73"/>
        <v>0</v>
      </c>
      <c r="U56" s="120">
        <f t="shared" si="73"/>
        <v>0</v>
      </c>
      <c r="V56" s="120">
        <f t="shared" si="73"/>
        <v>0</v>
      </c>
      <c r="W56" s="120">
        <f t="shared" si="73"/>
        <v>0</v>
      </c>
      <c r="X56" s="120">
        <f t="shared" si="73"/>
        <v>0</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1</v>
      </c>
      <c r="AM56" s="120">
        <f t="shared" si="66"/>
        <v>0</v>
      </c>
      <c r="AN56" s="120">
        <f t="shared" si="66"/>
        <v>0</v>
      </c>
      <c r="AO56" s="120">
        <f t="shared" si="66"/>
        <v>0</v>
      </c>
      <c r="AP56" s="120">
        <f t="shared" si="64"/>
        <v>0</v>
      </c>
      <c r="AQ56" s="120">
        <f t="shared" si="64"/>
        <v>0</v>
      </c>
      <c r="AR56" s="120">
        <f t="shared" si="64"/>
        <v>0</v>
      </c>
      <c r="AS56" s="120">
        <f t="shared" si="64"/>
        <v>0</v>
      </c>
      <c r="AT56" s="120">
        <f t="shared" si="64"/>
        <v>0</v>
      </c>
      <c r="AU56" s="120">
        <f t="shared" si="64"/>
        <v>0</v>
      </c>
      <c r="AV56" s="120">
        <f t="shared" si="64"/>
        <v>0</v>
      </c>
      <c r="AW56" s="120">
        <f t="shared" si="64"/>
        <v>0</v>
      </c>
      <c r="AX56" s="120">
        <f t="shared" si="64"/>
        <v>0</v>
      </c>
      <c r="AY56" s="120">
        <f t="shared" si="52"/>
        <v>1</v>
      </c>
      <c r="AZ56" s="20" t="s">
        <v>131</v>
      </c>
    </row>
    <row r="57" spans="1:52">
      <c r="A57" s="120" t="s">
        <v>162</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1</v>
      </c>
      <c r="K57" s="120">
        <f t="shared" si="74"/>
        <v>0</v>
      </c>
      <c r="L57" s="120">
        <f t="shared" si="74"/>
        <v>1</v>
      </c>
      <c r="M57" s="120">
        <f t="shared" si="74"/>
        <v>0</v>
      </c>
      <c r="N57" s="120">
        <f t="shared" si="74"/>
        <v>1</v>
      </c>
      <c r="O57" s="120">
        <f t="shared" si="74"/>
        <v>1</v>
      </c>
      <c r="P57" s="120">
        <f t="shared" si="74"/>
        <v>1</v>
      </c>
      <c r="Q57" s="120">
        <f t="shared" si="74"/>
        <v>0</v>
      </c>
      <c r="R57" s="120">
        <f t="shared" si="74"/>
        <v>1</v>
      </c>
      <c r="S57" s="120">
        <f t="shared" si="74"/>
        <v>1</v>
      </c>
      <c r="T57" s="120">
        <f t="shared" si="74"/>
        <v>0</v>
      </c>
      <c r="U57" s="120">
        <f t="shared" si="74"/>
        <v>0</v>
      </c>
      <c r="V57" s="120">
        <f t="shared" si="74"/>
        <v>0</v>
      </c>
      <c r="W57" s="120">
        <f t="shared" si="74"/>
        <v>0</v>
      </c>
      <c r="X57" s="120">
        <f t="shared" si="74"/>
        <v>1</v>
      </c>
      <c r="Y57" s="120">
        <f t="shared" si="74"/>
        <v>0</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1</v>
      </c>
      <c r="AJ57" s="120">
        <f t="shared" si="66"/>
        <v>0</v>
      </c>
      <c r="AK57" s="120">
        <f t="shared" si="66"/>
        <v>1</v>
      </c>
      <c r="AL57" s="120">
        <f t="shared" si="66"/>
        <v>0</v>
      </c>
      <c r="AM57" s="120">
        <f t="shared" si="66"/>
        <v>1</v>
      </c>
      <c r="AN57" s="120">
        <f t="shared" si="66"/>
        <v>1</v>
      </c>
      <c r="AO57" s="120">
        <f t="shared" si="66"/>
        <v>1</v>
      </c>
      <c r="AP57" s="120">
        <f t="shared" si="64"/>
        <v>0</v>
      </c>
      <c r="AQ57" s="120">
        <f t="shared" si="64"/>
        <v>1</v>
      </c>
      <c r="AR57" s="120">
        <f t="shared" si="64"/>
        <v>1</v>
      </c>
      <c r="AS57" s="120">
        <f t="shared" si="64"/>
        <v>0</v>
      </c>
      <c r="AT57" s="120">
        <f t="shared" si="64"/>
        <v>0</v>
      </c>
      <c r="AU57" s="120">
        <f t="shared" si="64"/>
        <v>0</v>
      </c>
      <c r="AV57" s="120">
        <f t="shared" si="64"/>
        <v>0</v>
      </c>
      <c r="AW57" s="120">
        <f t="shared" si="64"/>
        <v>1</v>
      </c>
      <c r="AX57" s="120">
        <f t="shared" si="64"/>
        <v>0</v>
      </c>
      <c r="AY57" s="120">
        <f t="shared" si="52"/>
        <v>8</v>
      </c>
      <c r="AZ57" s="20" t="s">
        <v>131</v>
      </c>
    </row>
    <row r="58" spans="1:52">
      <c r="A58" s="120" t="s">
        <v>163</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1</v>
      </c>
      <c r="K58" s="120">
        <f t="shared" si="75"/>
        <v>1</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1</v>
      </c>
      <c r="W58" s="120">
        <f t="shared" si="75"/>
        <v>0</v>
      </c>
      <c r="X58" s="120">
        <f t="shared" si="75"/>
        <v>0</v>
      </c>
      <c r="Y58" s="120">
        <f t="shared" si="75"/>
        <v>0</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0.5</v>
      </c>
      <c r="AJ58" s="120">
        <f t="shared" si="66"/>
        <v>1</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1</v>
      </c>
      <c r="AV58" s="120">
        <f t="shared" si="64"/>
        <v>0</v>
      </c>
      <c r="AW58" s="120">
        <f t="shared" si="64"/>
        <v>0</v>
      </c>
      <c r="AX58" s="120">
        <f t="shared" si="64"/>
        <v>0</v>
      </c>
      <c r="AY58" s="120">
        <f t="shared" si="52"/>
        <v>2.5</v>
      </c>
      <c r="AZ58" s="20" t="s">
        <v>131</v>
      </c>
    </row>
    <row r="59" spans="1:52">
      <c r="A59" s="120" t="s">
        <v>164</v>
      </c>
      <c r="B59" s="120">
        <f t="shared" ref="B59:Y59" si="76">IF(IFERROR(FIND($A$37,B26,1),0)=0,0,1)</f>
        <v>0</v>
      </c>
      <c r="C59" s="120">
        <f t="shared" si="76"/>
        <v>0</v>
      </c>
      <c r="D59" s="120">
        <f t="shared" si="76"/>
        <v>0</v>
      </c>
      <c r="E59" s="120">
        <f t="shared" si="76"/>
        <v>0</v>
      </c>
      <c r="F59" s="120">
        <f t="shared" si="76"/>
        <v>0</v>
      </c>
      <c r="G59" s="120">
        <f t="shared" si="76"/>
        <v>0</v>
      </c>
      <c r="H59" s="120">
        <f t="shared" si="76"/>
        <v>0</v>
      </c>
      <c r="I59" s="120">
        <f t="shared" si="76"/>
        <v>0</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1</v>
      </c>
      <c r="W59" s="120">
        <f t="shared" si="76"/>
        <v>1</v>
      </c>
      <c r="X59" s="120">
        <f t="shared" si="76"/>
        <v>1</v>
      </c>
      <c r="Y59" s="120">
        <f t="shared" si="76"/>
        <v>0</v>
      </c>
      <c r="AA59" s="120">
        <f t="shared" si="66"/>
        <v>0</v>
      </c>
      <c r="AB59" s="120">
        <f t="shared" si="66"/>
        <v>0</v>
      </c>
      <c r="AC59" s="120">
        <f t="shared" si="66"/>
        <v>0</v>
      </c>
      <c r="AD59" s="120">
        <f t="shared" si="66"/>
        <v>0</v>
      </c>
      <c r="AE59" s="120">
        <f t="shared" si="66"/>
        <v>0</v>
      </c>
      <c r="AF59" s="120">
        <f t="shared" si="66"/>
        <v>0</v>
      </c>
      <c r="AG59" s="120">
        <f t="shared" si="66"/>
        <v>0</v>
      </c>
      <c r="AH59" s="120">
        <f t="shared" si="66"/>
        <v>0</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1</v>
      </c>
      <c r="AV59" s="120">
        <f t="shared" si="64"/>
        <v>1</v>
      </c>
      <c r="AW59" s="120">
        <f t="shared" si="64"/>
        <v>1</v>
      </c>
      <c r="AX59" s="120">
        <f t="shared" si="64"/>
        <v>0</v>
      </c>
      <c r="AY59" s="120">
        <f t="shared" si="52"/>
        <v>3</v>
      </c>
      <c r="AZ59" s="20" t="s">
        <v>131</v>
      </c>
    </row>
    <row r="60" spans="1:52">
      <c r="A60" s="120" t="s">
        <v>165</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0</v>
      </c>
      <c r="J60" s="120">
        <f t="shared" si="77"/>
        <v>1</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0</v>
      </c>
      <c r="W60" s="120">
        <f t="shared" si="77"/>
        <v>0</v>
      </c>
      <c r="X60" s="120">
        <f t="shared" si="77"/>
        <v>0</v>
      </c>
      <c r="Y60" s="120">
        <f t="shared" si="77"/>
        <v>1</v>
      </c>
      <c r="AA60" s="120">
        <f t="shared" si="66"/>
        <v>0</v>
      </c>
      <c r="AB60" s="120">
        <f t="shared" si="66"/>
        <v>0</v>
      </c>
      <c r="AC60" s="120">
        <f t="shared" si="66"/>
        <v>0</v>
      </c>
      <c r="AD60" s="120">
        <f t="shared" si="66"/>
        <v>0</v>
      </c>
      <c r="AE60" s="120">
        <f t="shared" si="66"/>
        <v>0</v>
      </c>
      <c r="AF60" s="120">
        <f t="shared" si="66"/>
        <v>0</v>
      </c>
      <c r="AG60" s="120">
        <f t="shared" si="66"/>
        <v>0</v>
      </c>
      <c r="AH60" s="120">
        <f t="shared" si="66"/>
        <v>0</v>
      </c>
      <c r="AI60" s="120">
        <f t="shared" si="66"/>
        <v>1</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0</v>
      </c>
      <c r="AV60" s="120">
        <f t="shared" si="64"/>
        <v>0</v>
      </c>
      <c r="AW60" s="120">
        <f t="shared" si="64"/>
        <v>0</v>
      </c>
      <c r="AX60" s="120">
        <f t="shared" si="64"/>
        <v>0.5</v>
      </c>
      <c r="AY60" s="120">
        <f t="shared" si="52"/>
        <v>1.5</v>
      </c>
      <c r="AZ60" s="20" t="s">
        <v>131</v>
      </c>
    </row>
    <row r="61" spans="1:52">
      <c r="A61" s="120" t="s">
        <v>166</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0</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1</v>
      </c>
      <c r="V61" s="120">
        <f t="shared" si="78"/>
        <v>0</v>
      </c>
      <c r="W61" s="120">
        <f t="shared" si="78"/>
        <v>0</v>
      </c>
      <c r="X61" s="120">
        <f t="shared" si="78"/>
        <v>0</v>
      </c>
      <c r="Y61" s="120">
        <f t="shared" si="78"/>
        <v>0</v>
      </c>
      <c r="AA61" s="120">
        <f t="shared" si="66"/>
        <v>0</v>
      </c>
      <c r="AB61" s="120">
        <f t="shared" si="66"/>
        <v>0</v>
      </c>
      <c r="AC61" s="120">
        <f t="shared" si="66"/>
        <v>0</v>
      </c>
      <c r="AD61" s="120">
        <f t="shared" si="66"/>
        <v>0</v>
      </c>
      <c r="AE61" s="120">
        <f t="shared" si="66"/>
        <v>0</v>
      </c>
      <c r="AF61" s="120">
        <f t="shared" si="66"/>
        <v>0</v>
      </c>
      <c r="AG61" s="120">
        <f t="shared" si="66"/>
        <v>0</v>
      </c>
      <c r="AH61" s="120">
        <f t="shared" si="66"/>
        <v>0</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1</v>
      </c>
      <c r="AU61" s="120">
        <f t="shared" si="64"/>
        <v>0</v>
      </c>
      <c r="AV61" s="120">
        <f t="shared" si="64"/>
        <v>0</v>
      </c>
      <c r="AW61" s="120">
        <f t="shared" si="64"/>
        <v>0</v>
      </c>
      <c r="AX61" s="120">
        <f t="shared" si="64"/>
        <v>0</v>
      </c>
      <c r="AY61" s="120">
        <f t="shared" si="52"/>
        <v>1</v>
      </c>
      <c r="AZ61" s="20" t="s">
        <v>131</v>
      </c>
    </row>
    <row r="62" spans="1:52">
      <c r="A62" s="120" t="s">
        <v>167</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1</v>
      </c>
      <c r="W62" s="120">
        <f t="shared" si="79"/>
        <v>0</v>
      </c>
      <c r="X62" s="120">
        <f t="shared" si="79"/>
        <v>1</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1</v>
      </c>
      <c r="AV62" s="120">
        <f t="shared" si="64"/>
        <v>0</v>
      </c>
      <c r="AW62" s="120">
        <f t="shared" si="64"/>
        <v>1</v>
      </c>
      <c r="AX62" s="120">
        <f t="shared" si="64"/>
        <v>0</v>
      </c>
      <c r="AY62" s="120">
        <f t="shared" si="52"/>
        <v>2</v>
      </c>
      <c r="AZ62" s="20" t="s">
        <v>131</v>
      </c>
    </row>
    <row r="63" spans="1:52">
      <c r="A63" s="120" t="s">
        <v>168</v>
      </c>
      <c r="B63" s="120">
        <f t="shared" ref="B63:Y63" si="80">IF(IFERROR(FIND($A$37,B30,1),0)=0,0,1)</f>
        <v>0</v>
      </c>
      <c r="C63" s="120">
        <f t="shared" si="80"/>
        <v>0</v>
      </c>
      <c r="D63" s="120">
        <f t="shared" si="80"/>
        <v>0</v>
      </c>
      <c r="E63" s="120">
        <f t="shared" si="80"/>
        <v>0</v>
      </c>
      <c r="F63" s="120">
        <f t="shared" si="80"/>
        <v>0</v>
      </c>
      <c r="G63" s="120">
        <f t="shared" si="80"/>
        <v>0</v>
      </c>
      <c r="H63" s="120">
        <f t="shared" si="80"/>
        <v>0</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0</v>
      </c>
      <c r="W63" s="120">
        <f t="shared" si="80"/>
        <v>1</v>
      </c>
      <c r="X63" s="120">
        <f t="shared" si="80"/>
        <v>0</v>
      </c>
      <c r="Y63" s="120">
        <f t="shared" si="80"/>
        <v>0</v>
      </c>
      <c r="AA63" s="120">
        <f t="shared" si="66"/>
        <v>0</v>
      </c>
      <c r="AB63" s="120">
        <f t="shared" si="66"/>
        <v>0</v>
      </c>
      <c r="AC63" s="120">
        <f t="shared" si="66"/>
        <v>0</v>
      </c>
      <c r="AD63" s="120">
        <f t="shared" si="66"/>
        <v>0</v>
      </c>
      <c r="AE63" s="120">
        <f t="shared" si="66"/>
        <v>0</v>
      </c>
      <c r="AF63" s="120">
        <f t="shared" si="66"/>
        <v>0</v>
      </c>
      <c r="AG63" s="120">
        <f t="shared" si="66"/>
        <v>0</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0</v>
      </c>
      <c r="AV63" s="120">
        <f t="shared" si="64"/>
        <v>1</v>
      </c>
      <c r="AW63" s="120">
        <f t="shared" si="64"/>
        <v>0</v>
      </c>
      <c r="AX63" s="120">
        <f t="shared" si="64"/>
        <v>0</v>
      </c>
      <c r="AY63" s="120">
        <f t="shared" si="52"/>
        <v>1</v>
      </c>
      <c r="AZ63" s="20" t="s">
        <v>131</v>
      </c>
    </row>
    <row r="64" spans="1:52">
      <c r="A64" s="120" t="s">
        <v>169</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1</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1</v>
      </c>
      <c r="U64" s="120">
        <f t="shared" si="81"/>
        <v>0</v>
      </c>
      <c r="V64" s="120">
        <f t="shared" si="81"/>
        <v>1</v>
      </c>
      <c r="W64" s="120">
        <f t="shared" si="81"/>
        <v>0</v>
      </c>
      <c r="X64" s="120">
        <f t="shared" si="81"/>
        <v>0</v>
      </c>
      <c r="Y64" s="120">
        <f t="shared" si="81"/>
        <v>0</v>
      </c>
      <c r="AA64" s="120">
        <f t="shared" si="66"/>
        <v>0</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1</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1</v>
      </c>
      <c r="AT64" s="120">
        <f t="shared" si="82"/>
        <v>0</v>
      </c>
      <c r="AU64" s="120">
        <f t="shared" si="82"/>
        <v>1</v>
      </c>
      <c r="AV64" s="120">
        <f t="shared" si="82"/>
        <v>0</v>
      </c>
      <c r="AW64" s="120">
        <f t="shared" si="82"/>
        <v>0</v>
      </c>
      <c r="AX64" s="120">
        <f t="shared" si="82"/>
        <v>0</v>
      </c>
      <c r="AY64" s="120">
        <f t="shared" si="52"/>
        <v>3</v>
      </c>
      <c r="AZ64" s="20" t="s">
        <v>131</v>
      </c>
    </row>
    <row r="65" spans="1:52">
      <c r="A65" s="120" t="s">
        <v>170</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0</v>
      </c>
      <c r="J65" s="120">
        <f t="shared" si="83"/>
        <v>1</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0</v>
      </c>
      <c r="X65" s="120">
        <f t="shared" si="83"/>
        <v>1</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0</v>
      </c>
      <c r="AI65" s="120">
        <f t="shared" si="84"/>
        <v>1</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0</v>
      </c>
      <c r="AW65" s="120">
        <f t="shared" si="82"/>
        <v>1</v>
      </c>
      <c r="AX65" s="120">
        <f t="shared" si="82"/>
        <v>0</v>
      </c>
      <c r="AY65" s="120">
        <f t="shared" si="52"/>
        <v>2</v>
      </c>
      <c r="AZ65" s="20" t="s">
        <v>131</v>
      </c>
    </row>
    <row r="66" spans="1:52">
      <c r="A66" s="120" t="s">
        <v>171</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1</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0</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1</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0</v>
      </c>
      <c r="AY66" s="120">
        <f t="shared" si="52"/>
        <v>1</v>
      </c>
      <c r="AZ66" s="20" t="s">
        <v>131</v>
      </c>
    </row>
    <row r="67" spans="1:52">
      <c r="A67" s="120" t="s">
        <v>172</v>
      </c>
      <c r="B67" s="120">
        <f t="shared" ref="B67:Y67" si="86">IF(IFERROR(FIND($A$37,B34,1),0)=0,0,1)</f>
        <v>0</v>
      </c>
      <c r="C67" s="120">
        <f t="shared" si="86"/>
        <v>0</v>
      </c>
      <c r="D67" s="120">
        <f t="shared" si="86"/>
        <v>0</v>
      </c>
      <c r="E67" s="120">
        <f t="shared" si="86"/>
        <v>0</v>
      </c>
      <c r="F67" s="120">
        <f t="shared" si="86"/>
        <v>0</v>
      </c>
      <c r="G67" s="120">
        <f t="shared" si="86"/>
        <v>0</v>
      </c>
      <c r="H67" s="120">
        <f t="shared" si="86"/>
        <v>0</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1</v>
      </c>
      <c r="U67" s="120">
        <f t="shared" si="86"/>
        <v>1</v>
      </c>
      <c r="V67" s="120">
        <f t="shared" si="86"/>
        <v>0</v>
      </c>
      <c r="W67" s="120">
        <f t="shared" si="86"/>
        <v>0</v>
      </c>
      <c r="X67" s="120">
        <f t="shared" si="86"/>
        <v>0</v>
      </c>
      <c r="Y67" s="120">
        <f t="shared" si="86"/>
        <v>0</v>
      </c>
      <c r="AA67" s="120">
        <f t="shared" si="84"/>
        <v>0</v>
      </c>
      <c r="AB67" s="120">
        <f t="shared" si="84"/>
        <v>0</v>
      </c>
      <c r="AC67" s="120">
        <f t="shared" si="84"/>
        <v>0</v>
      </c>
      <c r="AD67" s="120">
        <f t="shared" si="84"/>
        <v>0</v>
      </c>
      <c r="AE67" s="120">
        <f t="shared" si="84"/>
        <v>0</v>
      </c>
      <c r="AF67" s="120">
        <f t="shared" si="84"/>
        <v>0</v>
      </c>
      <c r="AG67" s="120">
        <f t="shared" si="84"/>
        <v>0</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1</v>
      </c>
      <c r="AT67" s="120">
        <f t="shared" si="82"/>
        <v>1</v>
      </c>
      <c r="AU67" s="120">
        <f t="shared" si="82"/>
        <v>0</v>
      </c>
      <c r="AV67" s="120">
        <f t="shared" si="82"/>
        <v>0</v>
      </c>
      <c r="AW67" s="120">
        <f t="shared" si="82"/>
        <v>0</v>
      </c>
      <c r="AX67" s="120">
        <f t="shared" si="82"/>
        <v>0</v>
      </c>
      <c r="AY67" s="120">
        <f t="shared" si="52"/>
        <v>2</v>
      </c>
      <c r="AZ67" s="20" t="s">
        <v>131</v>
      </c>
    </row>
    <row r="68" spans="1:52">
      <c r="A68" s="120" t="s">
        <v>173</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1</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1</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1</v>
      </c>
      <c r="AZ68" s="20" t="s">
        <v>131</v>
      </c>
    </row>
    <row r="70" spans="1:52">
      <c r="A70" s="134" t="s">
        <v>132</v>
      </c>
    </row>
    <row r="71" spans="1:52">
      <c r="A71" s="120" t="s">
        <v>143</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132</v>
      </c>
    </row>
    <row r="72" spans="1:52">
      <c r="A72" s="120" t="s">
        <v>144</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132</v>
      </c>
    </row>
    <row r="73" spans="1:52">
      <c r="A73" s="120" t="s">
        <v>145</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132</v>
      </c>
    </row>
    <row r="74" spans="1:52">
      <c r="A74" s="120" t="s">
        <v>146</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132</v>
      </c>
    </row>
    <row r="75" spans="1:52">
      <c r="A75" s="120" t="s">
        <v>147</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132</v>
      </c>
    </row>
    <row r="76" spans="1:52">
      <c r="A76" s="120" t="s">
        <v>148</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132</v>
      </c>
    </row>
    <row r="77" spans="1:52">
      <c r="A77" s="120" t="s">
        <v>149</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132</v>
      </c>
    </row>
    <row r="78" spans="1:52">
      <c r="A78" s="120" t="s">
        <v>150</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132</v>
      </c>
    </row>
    <row r="79" spans="1:52">
      <c r="A79" s="120" t="s">
        <v>151</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132</v>
      </c>
    </row>
    <row r="80" spans="1:52">
      <c r="A80" s="120" t="s">
        <v>152</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132</v>
      </c>
    </row>
    <row r="81" spans="1:52">
      <c r="A81" s="120" t="s">
        <v>153</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132</v>
      </c>
    </row>
    <row r="82" spans="1:52">
      <c r="A82" s="120" t="s">
        <v>154</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132</v>
      </c>
    </row>
    <row r="83" spans="1:52">
      <c r="A83" s="120" t="s">
        <v>155</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132</v>
      </c>
    </row>
    <row r="84" spans="1:52">
      <c r="A84" s="120" t="s">
        <v>156</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132</v>
      </c>
    </row>
    <row r="85" spans="1:52">
      <c r="A85" s="120" t="s">
        <v>157</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132</v>
      </c>
    </row>
    <row r="86" spans="1:52">
      <c r="A86" s="120" t="s">
        <v>158</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132</v>
      </c>
    </row>
    <row r="87" spans="1:52">
      <c r="A87" s="120" t="s">
        <v>159</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132</v>
      </c>
    </row>
    <row r="88" spans="1:52">
      <c r="A88" s="120" t="s">
        <v>160</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132</v>
      </c>
    </row>
    <row r="89" spans="1:52">
      <c r="A89" s="120" t="s">
        <v>161</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132</v>
      </c>
    </row>
    <row r="90" spans="1:52">
      <c r="A90" s="120" t="s">
        <v>162</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132</v>
      </c>
    </row>
    <row r="91" spans="1:52">
      <c r="A91" s="120" t="s">
        <v>163</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132</v>
      </c>
    </row>
    <row r="92" spans="1:52">
      <c r="A92" s="120" t="s">
        <v>164</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132</v>
      </c>
    </row>
    <row r="93" spans="1:52">
      <c r="A93" s="120" t="s">
        <v>165</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132</v>
      </c>
    </row>
    <row r="94" spans="1:52">
      <c r="A94" s="120" t="s">
        <v>166</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132</v>
      </c>
    </row>
    <row r="95" spans="1:52">
      <c r="A95" s="120" t="s">
        <v>167</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132</v>
      </c>
    </row>
    <row r="96" spans="1:52">
      <c r="A96" s="120" t="s">
        <v>168</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132</v>
      </c>
    </row>
    <row r="97" spans="1:52">
      <c r="A97" s="120" t="s">
        <v>169</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132</v>
      </c>
    </row>
    <row r="98" spans="1:52">
      <c r="A98" s="120" t="s">
        <v>170</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132</v>
      </c>
    </row>
    <row r="99" spans="1:52">
      <c r="A99" s="120" t="s">
        <v>171</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132</v>
      </c>
    </row>
    <row r="100" spans="1:52">
      <c r="A100" s="120" t="s">
        <v>172</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132</v>
      </c>
    </row>
    <row r="101" spans="1:52">
      <c r="A101" s="120" t="s">
        <v>173</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132</v>
      </c>
    </row>
    <row r="103" spans="1:52">
      <c r="A103" s="134" t="s">
        <v>133</v>
      </c>
    </row>
    <row r="104" spans="1:52">
      <c r="A104" s="120" t="s">
        <v>143</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133</v>
      </c>
    </row>
    <row r="105" spans="1:52">
      <c r="A105" s="120" t="s">
        <v>144</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133</v>
      </c>
    </row>
    <row r="106" spans="1:52">
      <c r="A106" s="120" t="s">
        <v>145</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133</v>
      </c>
    </row>
    <row r="107" spans="1:52">
      <c r="A107" s="120" t="s">
        <v>146</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133</v>
      </c>
    </row>
    <row r="108" spans="1:52">
      <c r="A108" s="120" t="s">
        <v>147</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133</v>
      </c>
    </row>
    <row r="109" spans="1:52">
      <c r="A109" s="120" t="s">
        <v>148</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133</v>
      </c>
    </row>
    <row r="110" spans="1:52">
      <c r="A110" s="120" t="s">
        <v>149</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133</v>
      </c>
    </row>
    <row r="111" spans="1:52">
      <c r="A111" s="120" t="s">
        <v>150</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133</v>
      </c>
    </row>
    <row r="112" spans="1:52">
      <c r="A112" s="120" t="s">
        <v>151</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133</v>
      </c>
    </row>
    <row r="113" spans="1:52">
      <c r="A113" s="120" t="s">
        <v>152</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133</v>
      </c>
    </row>
    <row r="114" spans="1:52">
      <c r="A114" s="120" t="s">
        <v>153</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133</v>
      </c>
    </row>
    <row r="115" spans="1:52">
      <c r="A115" s="120" t="s">
        <v>154</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133</v>
      </c>
    </row>
    <row r="116" spans="1:52">
      <c r="A116" s="120" t="s">
        <v>155</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133</v>
      </c>
    </row>
    <row r="117" spans="1:52">
      <c r="A117" s="120" t="s">
        <v>156</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133</v>
      </c>
    </row>
    <row r="118" spans="1:52">
      <c r="A118" s="120" t="s">
        <v>157</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133</v>
      </c>
    </row>
    <row r="119" spans="1:52">
      <c r="A119" s="120" t="s">
        <v>158</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133</v>
      </c>
    </row>
    <row r="120" spans="1:52">
      <c r="A120" s="120" t="s">
        <v>159</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133</v>
      </c>
    </row>
    <row r="121" spans="1:52">
      <c r="A121" s="120" t="s">
        <v>160</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133</v>
      </c>
    </row>
    <row r="122" spans="1:52">
      <c r="A122" s="120" t="s">
        <v>161</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133</v>
      </c>
    </row>
    <row r="123" spans="1:52">
      <c r="A123" s="120" t="s">
        <v>162</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133</v>
      </c>
    </row>
    <row r="124" spans="1:52">
      <c r="A124" s="120" t="s">
        <v>163</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133</v>
      </c>
    </row>
    <row r="125" spans="1:52">
      <c r="A125" s="120" t="s">
        <v>164</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133</v>
      </c>
    </row>
    <row r="126" spans="1:52">
      <c r="A126" s="120" t="s">
        <v>165</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133</v>
      </c>
    </row>
    <row r="127" spans="1:52">
      <c r="A127" s="120" t="s">
        <v>166</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133</v>
      </c>
    </row>
    <row r="128" spans="1:52">
      <c r="A128" s="120" t="s">
        <v>167</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133</v>
      </c>
    </row>
    <row r="129" spans="1:52">
      <c r="A129" s="120" t="s">
        <v>168</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133</v>
      </c>
    </row>
    <row r="130" spans="1:52">
      <c r="A130" s="120" t="s">
        <v>169</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133</v>
      </c>
    </row>
    <row r="131" spans="1:52">
      <c r="A131" s="120" t="s">
        <v>170</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133</v>
      </c>
    </row>
    <row r="132" spans="1:52">
      <c r="A132" s="120" t="s">
        <v>171</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133</v>
      </c>
    </row>
    <row r="133" spans="1:52">
      <c r="A133" s="120" t="s">
        <v>172</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133</v>
      </c>
    </row>
    <row r="134" spans="1:52">
      <c r="A134" s="120" t="s">
        <v>173</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133</v>
      </c>
    </row>
    <row r="136" spans="1:52">
      <c r="A136" s="134" t="s">
        <v>134</v>
      </c>
    </row>
    <row r="137" spans="1:52">
      <c r="A137" s="120" t="s">
        <v>143</v>
      </c>
      <c r="B137" s="120">
        <f t="shared" ref="B137:X137" si="112">IF(IFERROR(FIND($A$136,B5,1),0)=0,0,1)</f>
        <v>1</v>
      </c>
      <c r="C137" s="120">
        <f t="shared" si="112"/>
        <v>0</v>
      </c>
      <c r="D137" s="120">
        <f t="shared" si="112"/>
        <v>1</v>
      </c>
      <c r="E137" s="120">
        <f t="shared" si="112"/>
        <v>1</v>
      </c>
      <c r="F137" s="120">
        <f t="shared" si="112"/>
        <v>1</v>
      </c>
      <c r="G137" s="120">
        <f t="shared" si="112"/>
        <v>1</v>
      </c>
      <c r="H137" s="120">
        <f t="shared" si="112"/>
        <v>1</v>
      </c>
      <c r="I137" s="120">
        <f t="shared" si="112"/>
        <v>1</v>
      </c>
      <c r="J137" s="120">
        <f t="shared" si="112"/>
        <v>1</v>
      </c>
      <c r="K137" s="120">
        <f t="shared" si="112"/>
        <v>0</v>
      </c>
      <c r="L137" s="120">
        <f t="shared" si="112"/>
        <v>0</v>
      </c>
      <c r="M137" s="120">
        <f t="shared" si="112"/>
        <v>0</v>
      </c>
      <c r="N137" s="120">
        <f t="shared" si="112"/>
        <v>1</v>
      </c>
      <c r="O137" s="120">
        <f t="shared" si="112"/>
        <v>0</v>
      </c>
      <c r="P137" s="120">
        <f t="shared" si="112"/>
        <v>1</v>
      </c>
      <c r="Q137" s="120">
        <f t="shared" si="112"/>
        <v>0</v>
      </c>
      <c r="R137" s="120">
        <f t="shared" si="112"/>
        <v>0</v>
      </c>
      <c r="S137" s="120">
        <f t="shared" si="112"/>
        <v>1</v>
      </c>
      <c r="T137" s="120">
        <f t="shared" si="112"/>
        <v>0</v>
      </c>
      <c r="U137" s="120">
        <f t="shared" si="112"/>
        <v>0</v>
      </c>
      <c r="V137" s="120">
        <f t="shared" si="112"/>
        <v>1</v>
      </c>
      <c r="W137" s="120">
        <f t="shared" si="112"/>
        <v>1</v>
      </c>
      <c r="X137" s="120">
        <f t="shared" si="112"/>
        <v>1</v>
      </c>
      <c r="Y137" s="120">
        <f t="shared" ref="Y137:Y167" si="113">IF(IFERROR(FIND($A$136,Y5,1),0)=0,0,1)</f>
        <v>0</v>
      </c>
      <c r="AA137" s="120">
        <f t="shared" ref="AA137:AX147" si="114">IF(B137=0,0,B137/AA5)</f>
        <v>1</v>
      </c>
      <c r="AB137" s="120">
        <f t="shared" si="114"/>
        <v>0</v>
      </c>
      <c r="AC137" s="120">
        <f t="shared" si="114"/>
        <v>1</v>
      </c>
      <c r="AD137" s="120">
        <f t="shared" si="114"/>
        <v>1</v>
      </c>
      <c r="AE137" s="120">
        <f t="shared" si="114"/>
        <v>1</v>
      </c>
      <c r="AF137" s="120">
        <f t="shared" si="114"/>
        <v>1</v>
      </c>
      <c r="AG137" s="120">
        <f t="shared" si="114"/>
        <v>1</v>
      </c>
      <c r="AH137" s="120">
        <f t="shared" si="114"/>
        <v>1</v>
      </c>
      <c r="AI137" s="120">
        <f t="shared" si="114"/>
        <v>1</v>
      </c>
      <c r="AJ137" s="120">
        <f t="shared" si="114"/>
        <v>0</v>
      </c>
      <c r="AK137" s="120">
        <f t="shared" si="114"/>
        <v>0</v>
      </c>
      <c r="AL137" s="120">
        <f t="shared" si="114"/>
        <v>0</v>
      </c>
      <c r="AM137" s="120">
        <f t="shared" si="114"/>
        <v>1</v>
      </c>
      <c r="AN137" s="120">
        <f t="shared" si="114"/>
        <v>0</v>
      </c>
      <c r="AO137" s="120">
        <f t="shared" si="114"/>
        <v>0.5</v>
      </c>
      <c r="AP137" s="120">
        <f t="shared" si="114"/>
        <v>0</v>
      </c>
      <c r="AQ137" s="120">
        <f t="shared" si="114"/>
        <v>0</v>
      </c>
      <c r="AR137" s="120">
        <f t="shared" si="114"/>
        <v>1</v>
      </c>
      <c r="AS137" s="120">
        <f t="shared" si="114"/>
        <v>0</v>
      </c>
      <c r="AT137" s="120">
        <f t="shared" si="114"/>
        <v>0</v>
      </c>
      <c r="AU137" s="120">
        <f t="shared" si="114"/>
        <v>1</v>
      </c>
      <c r="AV137" s="120">
        <f t="shared" si="114"/>
        <v>1</v>
      </c>
      <c r="AW137" s="120">
        <f t="shared" si="114"/>
        <v>1</v>
      </c>
      <c r="AX137" s="120">
        <f t="shared" si="114"/>
        <v>0</v>
      </c>
      <c r="AY137" s="120">
        <f t="shared" ref="AY137:AY167" si="115">SUM(AA137:AX137)</f>
        <v>13.5</v>
      </c>
      <c r="AZ137" s="20" t="s">
        <v>134</v>
      </c>
    </row>
    <row r="138" spans="1:52">
      <c r="A138" s="120" t="s">
        <v>144</v>
      </c>
      <c r="B138" s="120">
        <f t="shared" ref="B138:X149" si="116">IF(IFERROR(FIND($A$136,B6,1),0)=0,0,1)</f>
        <v>1</v>
      </c>
      <c r="C138" s="120">
        <f t="shared" si="116"/>
        <v>1</v>
      </c>
      <c r="D138" s="120">
        <f t="shared" si="116"/>
        <v>0</v>
      </c>
      <c r="E138" s="120">
        <f t="shared" si="116"/>
        <v>0</v>
      </c>
      <c r="F138" s="120">
        <f t="shared" si="116"/>
        <v>0</v>
      </c>
      <c r="G138" s="120">
        <f t="shared" si="116"/>
        <v>0</v>
      </c>
      <c r="H138" s="120">
        <f t="shared" si="116"/>
        <v>1</v>
      </c>
      <c r="I138" s="120">
        <f t="shared" si="116"/>
        <v>1</v>
      </c>
      <c r="J138" s="120">
        <f t="shared" si="116"/>
        <v>0</v>
      </c>
      <c r="K138" s="120">
        <f t="shared" si="116"/>
        <v>0</v>
      </c>
      <c r="L138" s="120">
        <f t="shared" si="116"/>
        <v>0</v>
      </c>
      <c r="M138" s="120">
        <f t="shared" si="116"/>
        <v>0</v>
      </c>
      <c r="N138" s="120">
        <f t="shared" si="116"/>
        <v>0</v>
      </c>
      <c r="O138" s="120">
        <f t="shared" si="116"/>
        <v>1</v>
      </c>
      <c r="P138" s="120">
        <f t="shared" si="116"/>
        <v>0</v>
      </c>
      <c r="Q138" s="120">
        <f t="shared" si="116"/>
        <v>1</v>
      </c>
      <c r="R138" s="120">
        <f t="shared" si="116"/>
        <v>1</v>
      </c>
      <c r="S138" s="120">
        <f t="shared" si="116"/>
        <v>0</v>
      </c>
      <c r="T138" s="120">
        <f t="shared" si="116"/>
        <v>1</v>
      </c>
      <c r="U138" s="120">
        <f t="shared" si="116"/>
        <v>1</v>
      </c>
      <c r="V138" s="120">
        <f t="shared" si="116"/>
        <v>1</v>
      </c>
      <c r="W138" s="120">
        <f t="shared" si="116"/>
        <v>1</v>
      </c>
      <c r="X138" s="120">
        <f t="shared" si="116"/>
        <v>1</v>
      </c>
      <c r="Y138" s="120">
        <f t="shared" si="113"/>
        <v>0</v>
      </c>
      <c r="AA138" s="120">
        <f t="shared" si="114"/>
        <v>1</v>
      </c>
      <c r="AB138" s="120">
        <f t="shared" si="114"/>
        <v>1</v>
      </c>
      <c r="AC138" s="120">
        <f t="shared" si="114"/>
        <v>0</v>
      </c>
      <c r="AD138" s="120">
        <f t="shared" si="114"/>
        <v>0</v>
      </c>
      <c r="AE138" s="120">
        <f t="shared" si="114"/>
        <v>0</v>
      </c>
      <c r="AF138" s="120">
        <f t="shared" si="114"/>
        <v>0</v>
      </c>
      <c r="AG138" s="120">
        <f t="shared" si="114"/>
        <v>1</v>
      </c>
      <c r="AH138" s="120">
        <f t="shared" si="114"/>
        <v>1</v>
      </c>
      <c r="AI138" s="120">
        <f t="shared" si="114"/>
        <v>0</v>
      </c>
      <c r="AJ138" s="120">
        <f t="shared" si="114"/>
        <v>0</v>
      </c>
      <c r="AK138" s="120">
        <f t="shared" si="114"/>
        <v>0</v>
      </c>
      <c r="AL138" s="120">
        <f t="shared" si="114"/>
        <v>0</v>
      </c>
      <c r="AM138" s="120">
        <f t="shared" si="114"/>
        <v>0</v>
      </c>
      <c r="AN138" s="120">
        <f t="shared" si="114"/>
        <v>1</v>
      </c>
      <c r="AO138" s="120">
        <f t="shared" si="114"/>
        <v>0</v>
      </c>
      <c r="AP138" s="120">
        <f t="shared" si="114"/>
        <v>1</v>
      </c>
      <c r="AQ138" s="120">
        <f t="shared" si="114"/>
        <v>1</v>
      </c>
      <c r="AR138" s="120">
        <f t="shared" si="114"/>
        <v>0</v>
      </c>
      <c r="AS138" s="120">
        <f t="shared" si="114"/>
        <v>1</v>
      </c>
      <c r="AT138" s="120">
        <f t="shared" si="114"/>
        <v>1</v>
      </c>
      <c r="AU138" s="120">
        <f t="shared" si="114"/>
        <v>1</v>
      </c>
      <c r="AV138" s="120">
        <f t="shared" si="114"/>
        <v>1</v>
      </c>
      <c r="AW138" s="120">
        <f t="shared" si="114"/>
        <v>0.5</v>
      </c>
      <c r="AX138" s="120">
        <f t="shared" si="114"/>
        <v>0</v>
      </c>
      <c r="AY138" s="120">
        <f t="shared" si="115"/>
        <v>11.5</v>
      </c>
      <c r="AZ138" s="20" t="s">
        <v>134</v>
      </c>
    </row>
    <row r="139" spans="1:52">
      <c r="A139" s="120" t="s">
        <v>145</v>
      </c>
      <c r="B139" s="120">
        <f t="shared" si="116"/>
        <v>1</v>
      </c>
      <c r="C139" s="120">
        <f t="shared" si="116"/>
        <v>0</v>
      </c>
      <c r="D139" s="120">
        <f t="shared" si="116"/>
        <v>0</v>
      </c>
      <c r="E139" s="120">
        <f t="shared" si="116"/>
        <v>0</v>
      </c>
      <c r="F139" s="120">
        <f t="shared" si="116"/>
        <v>0</v>
      </c>
      <c r="G139" s="120">
        <f t="shared" si="116"/>
        <v>0</v>
      </c>
      <c r="H139" s="120">
        <f t="shared" si="116"/>
        <v>0</v>
      </c>
      <c r="I139" s="120">
        <f t="shared" si="116"/>
        <v>1</v>
      </c>
      <c r="J139" s="120">
        <f t="shared" si="116"/>
        <v>1</v>
      </c>
      <c r="K139" s="120">
        <f t="shared" si="116"/>
        <v>1</v>
      </c>
      <c r="L139" s="120">
        <f t="shared" si="116"/>
        <v>1</v>
      </c>
      <c r="M139" s="120">
        <f t="shared" si="116"/>
        <v>0</v>
      </c>
      <c r="N139" s="120">
        <f t="shared" si="116"/>
        <v>1</v>
      </c>
      <c r="O139" s="120">
        <f t="shared" si="116"/>
        <v>1</v>
      </c>
      <c r="P139" s="120">
        <f t="shared" si="116"/>
        <v>0</v>
      </c>
      <c r="Q139" s="120">
        <f t="shared" si="116"/>
        <v>0</v>
      </c>
      <c r="R139" s="120">
        <f t="shared" si="116"/>
        <v>0</v>
      </c>
      <c r="S139" s="120">
        <f t="shared" si="116"/>
        <v>1</v>
      </c>
      <c r="T139" s="120">
        <f t="shared" si="116"/>
        <v>0</v>
      </c>
      <c r="U139" s="120">
        <f t="shared" si="116"/>
        <v>0</v>
      </c>
      <c r="V139" s="120">
        <f t="shared" si="116"/>
        <v>0</v>
      </c>
      <c r="W139" s="120">
        <f t="shared" si="116"/>
        <v>0</v>
      </c>
      <c r="X139" s="120">
        <f t="shared" si="116"/>
        <v>1</v>
      </c>
      <c r="Y139" s="120">
        <f t="shared" si="113"/>
        <v>0</v>
      </c>
      <c r="AA139" s="120">
        <f t="shared" si="114"/>
        <v>1</v>
      </c>
      <c r="AB139" s="120">
        <f t="shared" si="114"/>
        <v>0</v>
      </c>
      <c r="AC139" s="120">
        <f t="shared" si="114"/>
        <v>0</v>
      </c>
      <c r="AD139" s="120">
        <f t="shared" si="114"/>
        <v>0</v>
      </c>
      <c r="AE139" s="120">
        <f t="shared" si="114"/>
        <v>0</v>
      </c>
      <c r="AF139" s="120">
        <f t="shared" si="114"/>
        <v>0</v>
      </c>
      <c r="AG139" s="120">
        <f t="shared" si="114"/>
        <v>0</v>
      </c>
      <c r="AH139" s="120">
        <f t="shared" si="114"/>
        <v>0.5</v>
      </c>
      <c r="AI139" s="120">
        <f t="shared" si="114"/>
        <v>1</v>
      </c>
      <c r="AJ139" s="120">
        <f t="shared" si="114"/>
        <v>0.5</v>
      </c>
      <c r="AK139" s="120">
        <f t="shared" si="114"/>
        <v>1</v>
      </c>
      <c r="AL139" s="120">
        <f t="shared" si="114"/>
        <v>0</v>
      </c>
      <c r="AM139" s="120">
        <f t="shared" si="114"/>
        <v>1</v>
      </c>
      <c r="AN139" s="120">
        <f t="shared" si="114"/>
        <v>1</v>
      </c>
      <c r="AO139" s="120">
        <f t="shared" si="114"/>
        <v>0</v>
      </c>
      <c r="AP139" s="120">
        <f t="shared" si="114"/>
        <v>0</v>
      </c>
      <c r="AQ139" s="120">
        <f t="shared" si="114"/>
        <v>0</v>
      </c>
      <c r="AR139" s="120">
        <f t="shared" si="114"/>
        <v>1</v>
      </c>
      <c r="AS139" s="120">
        <f t="shared" si="114"/>
        <v>0</v>
      </c>
      <c r="AT139" s="120">
        <f t="shared" si="114"/>
        <v>0</v>
      </c>
      <c r="AU139" s="120">
        <f t="shared" si="114"/>
        <v>0</v>
      </c>
      <c r="AV139" s="120">
        <f t="shared" si="114"/>
        <v>0</v>
      </c>
      <c r="AW139" s="120">
        <f t="shared" si="114"/>
        <v>1</v>
      </c>
      <c r="AX139" s="120">
        <f t="shared" si="114"/>
        <v>0</v>
      </c>
      <c r="AY139" s="120">
        <f t="shared" si="115"/>
        <v>8</v>
      </c>
      <c r="AZ139" s="20" t="s">
        <v>134</v>
      </c>
    </row>
    <row r="140" spans="1:52">
      <c r="A140" s="120" t="s">
        <v>146</v>
      </c>
      <c r="B140" s="120">
        <f t="shared" si="116"/>
        <v>0</v>
      </c>
      <c r="C140" s="120">
        <f t="shared" si="116"/>
        <v>0</v>
      </c>
      <c r="D140" s="120">
        <f t="shared" si="116"/>
        <v>0</v>
      </c>
      <c r="E140" s="120">
        <f t="shared" si="116"/>
        <v>0</v>
      </c>
      <c r="F140" s="120">
        <f t="shared" si="116"/>
        <v>0</v>
      </c>
      <c r="G140" s="120">
        <f t="shared" si="116"/>
        <v>0</v>
      </c>
      <c r="H140" s="120">
        <f t="shared" si="116"/>
        <v>0</v>
      </c>
      <c r="I140" s="120">
        <f t="shared" si="116"/>
        <v>1</v>
      </c>
      <c r="J140" s="120">
        <f t="shared" si="116"/>
        <v>1</v>
      </c>
      <c r="K140" s="120">
        <f t="shared" si="116"/>
        <v>1</v>
      </c>
      <c r="L140" s="120">
        <f t="shared" si="116"/>
        <v>0</v>
      </c>
      <c r="M140" s="120">
        <f t="shared" si="116"/>
        <v>0</v>
      </c>
      <c r="N140" s="120">
        <f t="shared" si="116"/>
        <v>0</v>
      </c>
      <c r="O140" s="120">
        <f t="shared" si="116"/>
        <v>0</v>
      </c>
      <c r="P140" s="120">
        <f t="shared" si="116"/>
        <v>0</v>
      </c>
      <c r="Q140" s="120">
        <f t="shared" si="116"/>
        <v>0</v>
      </c>
      <c r="R140" s="120">
        <f t="shared" si="116"/>
        <v>0</v>
      </c>
      <c r="S140" s="120">
        <f t="shared" si="116"/>
        <v>1</v>
      </c>
      <c r="T140" s="120">
        <f t="shared" si="116"/>
        <v>1</v>
      </c>
      <c r="U140" s="120">
        <f t="shared" si="116"/>
        <v>1</v>
      </c>
      <c r="V140" s="120">
        <f t="shared" si="116"/>
        <v>1</v>
      </c>
      <c r="W140" s="120">
        <f t="shared" si="116"/>
        <v>0</v>
      </c>
      <c r="X140" s="120">
        <f t="shared" si="116"/>
        <v>0</v>
      </c>
      <c r="Y140" s="120">
        <f t="shared" si="113"/>
        <v>1</v>
      </c>
      <c r="AA140" s="120">
        <f t="shared" si="114"/>
        <v>0</v>
      </c>
      <c r="AB140" s="120">
        <f t="shared" si="114"/>
        <v>0</v>
      </c>
      <c r="AC140" s="120">
        <f t="shared" si="114"/>
        <v>0</v>
      </c>
      <c r="AD140" s="120">
        <f t="shared" si="114"/>
        <v>0</v>
      </c>
      <c r="AE140" s="120">
        <f t="shared" si="114"/>
        <v>0</v>
      </c>
      <c r="AF140" s="120">
        <f t="shared" si="114"/>
        <v>0</v>
      </c>
      <c r="AG140" s="120">
        <f t="shared" si="114"/>
        <v>0</v>
      </c>
      <c r="AH140" s="120">
        <f t="shared" si="114"/>
        <v>1</v>
      </c>
      <c r="AI140" s="120">
        <f t="shared" si="114"/>
        <v>1</v>
      </c>
      <c r="AJ140" s="120">
        <f t="shared" si="114"/>
        <v>1</v>
      </c>
      <c r="AK140" s="120">
        <f t="shared" si="114"/>
        <v>0</v>
      </c>
      <c r="AL140" s="120">
        <f t="shared" si="114"/>
        <v>0</v>
      </c>
      <c r="AM140" s="120">
        <f t="shared" si="114"/>
        <v>0</v>
      </c>
      <c r="AN140" s="120">
        <f t="shared" si="114"/>
        <v>0</v>
      </c>
      <c r="AO140" s="120">
        <f t="shared" si="114"/>
        <v>0</v>
      </c>
      <c r="AP140" s="120">
        <f t="shared" si="114"/>
        <v>0</v>
      </c>
      <c r="AQ140" s="120">
        <f t="shared" si="114"/>
        <v>0</v>
      </c>
      <c r="AR140" s="120">
        <f t="shared" si="114"/>
        <v>1</v>
      </c>
      <c r="AS140" s="120">
        <f t="shared" si="114"/>
        <v>1</v>
      </c>
      <c r="AT140" s="120">
        <f t="shared" si="114"/>
        <v>1</v>
      </c>
      <c r="AU140" s="120">
        <f t="shared" si="114"/>
        <v>1</v>
      </c>
      <c r="AV140" s="120">
        <f t="shared" si="114"/>
        <v>0</v>
      </c>
      <c r="AW140" s="120">
        <f t="shared" si="114"/>
        <v>0</v>
      </c>
      <c r="AX140" s="120">
        <f t="shared" si="114"/>
        <v>1</v>
      </c>
      <c r="AY140" s="120">
        <f t="shared" si="115"/>
        <v>8</v>
      </c>
      <c r="AZ140" s="20" t="s">
        <v>134</v>
      </c>
    </row>
    <row r="141" spans="1:52">
      <c r="A141" s="120" t="s">
        <v>147</v>
      </c>
      <c r="B141" s="120">
        <f t="shared" si="116"/>
        <v>1</v>
      </c>
      <c r="C141" s="120">
        <f t="shared" si="116"/>
        <v>0</v>
      </c>
      <c r="D141" s="120">
        <f t="shared" si="116"/>
        <v>0</v>
      </c>
      <c r="E141" s="120">
        <f t="shared" si="116"/>
        <v>0</v>
      </c>
      <c r="F141" s="120">
        <f t="shared" si="116"/>
        <v>0</v>
      </c>
      <c r="G141" s="120">
        <f t="shared" si="116"/>
        <v>0</v>
      </c>
      <c r="H141" s="120">
        <f t="shared" si="116"/>
        <v>0</v>
      </c>
      <c r="I141" s="120">
        <f t="shared" si="116"/>
        <v>0</v>
      </c>
      <c r="J141" s="120">
        <f t="shared" si="116"/>
        <v>1</v>
      </c>
      <c r="K141" s="120">
        <f t="shared" si="116"/>
        <v>1</v>
      </c>
      <c r="L141" s="120">
        <f t="shared" si="116"/>
        <v>0</v>
      </c>
      <c r="M141" s="120">
        <f t="shared" si="116"/>
        <v>0</v>
      </c>
      <c r="N141" s="120">
        <f t="shared" si="116"/>
        <v>0</v>
      </c>
      <c r="O141" s="120">
        <f t="shared" si="116"/>
        <v>0</v>
      </c>
      <c r="P141" s="120">
        <f t="shared" si="116"/>
        <v>0</v>
      </c>
      <c r="Q141" s="120">
        <f t="shared" si="116"/>
        <v>0</v>
      </c>
      <c r="R141" s="120">
        <f t="shared" si="116"/>
        <v>0</v>
      </c>
      <c r="S141" s="120">
        <f t="shared" si="116"/>
        <v>0</v>
      </c>
      <c r="T141" s="120">
        <f t="shared" si="116"/>
        <v>0</v>
      </c>
      <c r="U141" s="120">
        <f t="shared" si="116"/>
        <v>1</v>
      </c>
      <c r="V141" s="120">
        <f t="shared" si="116"/>
        <v>1</v>
      </c>
      <c r="W141" s="120">
        <f t="shared" si="116"/>
        <v>0</v>
      </c>
      <c r="X141" s="120">
        <f t="shared" si="116"/>
        <v>1</v>
      </c>
      <c r="Y141" s="120">
        <f t="shared" si="113"/>
        <v>0</v>
      </c>
      <c r="AA141" s="120">
        <f t="shared" si="114"/>
        <v>1</v>
      </c>
      <c r="AB141" s="120">
        <f t="shared" si="114"/>
        <v>0</v>
      </c>
      <c r="AC141" s="120">
        <f t="shared" si="114"/>
        <v>0</v>
      </c>
      <c r="AD141" s="120">
        <f t="shared" si="114"/>
        <v>0</v>
      </c>
      <c r="AE141" s="120">
        <f t="shared" si="114"/>
        <v>0</v>
      </c>
      <c r="AF141" s="120">
        <f t="shared" si="114"/>
        <v>0</v>
      </c>
      <c r="AG141" s="120">
        <f t="shared" si="114"/>
        <v>0</v>
      </c>
      <c r="AH141" s="120">
        <f t="shared" si="114"/>
        <v>0</v>
      </c>
      <c r="AI141" s="120">
        <f t="shared" si="114"/>
        <v>1</v>
      </c>
      <c r="AJ141" s="120">
        <f t="shared" si="114"/>
        <v>1</v>
      </c>
      <c r="AK141" s="120">
        <f t="shared" si="114"/>
        <v>0</v>
      </c>
      <c r="AL141" s="120">
        <f t="shared" si="114"/>
        <v>0</v>
      </c>
      <c r="AM141" s="120">
        <f t="shared" si="114"/>
        <v>0</v>
      </c>
      <c r="AN141" s="120">
        <f t="shared" si="114"/>
        <v>0</v>
      </c>
      <c r="AO141" s="120">
        <f t="shared" si="114"/>
        <v>0</v>
      </c>
      <c r="AP141" s="120">
        <f t="shared" si="114"/>
        <v>0</v>
      </c>
      <c r="AQ141" s="120">
        <f t="shared" si="114"/>
        <v>0</v>
      </c>
      <c r="AR141" s="120">
        <f t="shared" si="114"/>
        <v>0</v>
      </c>
      <c r="AS141" s="120">
        <f t="shared" si="114"/>
        <v>0</v>
      </c>
      <c r="AT141" s="120">
        <f t="shared" si="114"/>
        <v>1</v>
      </c>
      <c r="AU141" s="120">
        <f t="shared" si="114"/>
        <v>1</v>
      </c>
      <c r="AV141" s="120">
        <f t="shared" si="114"/>
        <v>0</v>
      </c>
      <c r="AW141" s="120">
        <f t="shared" si="114"/>
        <v>1</v>
      </c>
      <c r="AX141" s="120">
        <f t="shared" si="114"/>
        <v>0</v>
      </c>
      <c r="AY141" s="120">
        <f t="shared" si="115"/>
        <v>6</v>
      </c>
      <c r="AZ141" s="20" t="s">
        <v>134</v>
      </c>
    </row>
    <row r="142" spans="1:52">
      <c r="A142" s="120" t="s">
        <v>148</v>
      </c>
      <c r="B142" s="120">
        <f t="shared" si="116"/>
        <v>0</v>
      </c>
      <c r="C142" s="120">
        <f t="shared" si="116"/>
        <v>0</v>
      </c>
      <c r="D142" s="120">
        <f t="shared" si="116"/>
        <v>0</v>
      </c>
      <c r="E142" s="120">
        <f t="shared" si="116"/>
        <v>0</v>
      </c>
      <c r="F142" s="120">
        <f t="shared" si="116"/>
        <v>0</v>
      </c>
      <c r="G142" s="120">
        <f t="shared" si="116"/>
        <v>0</v>
      </c>
      <c r="H142" s="120">
        <f t="shared" si="116"/>
        <v>0</v>
      </c>
      <c r="I142" s="120">
        <f t="shared" si="116"/>
        <v>0</v>
      </c>
      <c r="J142" s="120">
        <f t="shared" si="116"/>
        <v>1</v>
      </c>
      <c r="K142" s="120">
        <f t="shared" si="116"/>
        <v>0</v>
      </c>
      <c r="L142" s="120">
        <f t="shared" si="116"/>
        <v>0</v>
      </c>
      <c r="M142" s="120">
        <f t="shared" si="116"/>
        <v>0</v>
      </c>
      <c r="N142" s="120">
        <f t="shared" si="116"/>
        <v>1</v>
      </c>
      <c r="O142" s="120">
        <f t="shared" si="116"/>
        <v>0</v>
      </c>
      <c r="P142" s="120">
        <f t="shared" si="116"/>
        <v>0</v>
      </c>
      <c r="Q142" s="120">
        <f t="shared" si="116"/>
        <v>0</v>
      </c>
      <c r="R142" s="120">
        <f t="shared" si="116"/>
        <v>0</v>
      </c>
      <c r="S142" s="120">
        <f t="shared" si="116"/>
        <v>0</v>
      </c>
      <c r="T142" s="120">
        <f t="shared" si="116"/>
        <v>0</v>
      </c>
      <c r="U142" s="120">
        <f t="shared" si="116"/>
        <v>1</v>
      </c>
      <c r="V142" s="120">
        <f t="shared" si="116"/>
        <v>1</v>
      </c>
      <c r="W142" s="120">
        <f t="shared" si="116"/>
        <v>1</v>
      </c>
      <c r="X142" s="120">
        <f t="shared" si="116"/>
        <v>1</v>
      </c>
      <c r="Y142" s="120">
        <f t="shared" si="113"/>
        <v>0</v>
      </c>
      <c r="AA142" s="120">
        <f t="shared" si="114"/>
        <v>0</v>
      </c>
      <c r="AB142" s="120">
        <f t="shared" si="114"/>
        <v>0</v>
      </c>
      <c r="AC142" s="120">
        <f t="shared" si="114"/>
        <v>0</v>
      </c>
      <c r="AD142" s="120">
        <f t="shared" si="114"/>
        <v>0</v>
      </c>
      <c r="AE142" s="120">
        <f t="shared" si="114"/>
        <v>0</v>
      </c>
      <c r="AF142" s="120">
        <f t="shared" si="114"/>
        <v>0</v>
      </c>
      <c r="AG142" s="120">
        <f t="shared" si="114"/>
        <v>0</v>
      </c>
      <c r="AH142" s="120">
        <f t="shared" si="114"/>
        <v>0</v>
      </c>
      <c r="AI142" s="120">
        <f t="shared" si="114"/>
        <v>1</v>
      </c>
      <c r="AJ142" s="120">
        <f t="shared" si="114"/>
        <v>0</v>
      </c>
      <c r="AK142" s="120">
        <f t="shared" si="114"/>
        <v>0</v>
      </c>
      <c r="AL142" s="120">
        <f t="shared" si="114"/>
        <v>0</v>
      </c>
      <c r="AM142" s="120">
        <f t="shared" si="114"/>
        <v>1</v>
      </c>
      <c r="AN142" s="120">
        <f t="shared" si="114"/>
        <v>0</v>
      </c>
      <c r="AO142" s="120">
        <f t="shared" si="114"/>
        <v>0</v>
      </c>
      <c r="AP142" s="120">
        <f t="shared" si="114"/>
        <v>0</v>
      </c>
      <c r="AQ142" s="120">
        <f t="shared" si="114"/>
        <v>0</v>
      </c>
      <c r="AR142" s="120">
        <f t="shared" si="114"/>
        <v>0</v>
      </c>
      <c r="AS142" s="120">
        <f t="shared" si="114"/>
        <v>0</v>
      </c>
      <c r="AT142" s="120">
        <f t="shared" si="114"/>
        <v>1</v>
      </c>
      <c r="AU142" s="120">
        <f t="shared" si="114"/>
        <v>1</v>
      </c>
      <c r="AV142" s="120">
        <f t="shared" si="114"/>
        <v>1</v>
      </c>
      <c r="AW142" s="120">
        <f t="shared" si="114"/>
        <v>1</v>
      </c>
      <c r="AX142" s="120">
        <f t="shared" si="114"/>
        <v>0</v>
      </c>
      <c r="AY142" s="120">
        <f t="shared" si="115"/>
        <v>6</v>
      </c>
      <c r="AZ142" s="20" t="s">
        <v>134</v>
      </c>
    </row>
    <row r="143" spans="1:52">
      <c r="A143" s="120" t="s">
        <v>149</v>
      </c>
      <c r="B143" s="120">
        <f t="shared" si="116"/>
        <v>1</v>
      </c>
      <c r="C143" s="120">
        <f t="shared" si="116"/>
        <v>1</v>
      </c>
      <c r="D143" s="120">
        <f t="shared" si="116"/>
        <v>1</v>
      </c>
      <c r="E143" s="120">
        <f t="shared" si="116"/>
        <v>1</v>
      </c>
      <c r="F143" s="120">
        <f t="shared" si="116"/>
        <v>0</v>
      </c>
      <c r="G143" s="120">
        <f t="shared" si="116"/>
        <v>0</v>
      </c>
      <c r="H143" s="120">
        <f t="shared" si="116"/>
        <v>1</v>
      </c>
      <c r="I143" s="120">
        <f t="shared" si="116"/>
        <v>1</v>
      </c>
      <c r="J143" s="120">
        <f t="shared" si="116"/>
        <v>0</v>
      </c>
      <c r="K143" s="120">
        <f t="shared" si="116"/>
        <v>1</v>
      </c>
      <c r="L143" s="120">
        <f t="shared" si="116"/>
        <v>0</v>
      </c>
      <c r="M143" s="120">
        <f t="shared" si="116"/>
        <v>0</v>
      </c>
      <c r="N143" s="120">
        <f t="shared" si="116"/>
        <v>0</v>
      </c>
      <c r="O143" s="120">
        <f t="shared" si="116"/>
        <v>0</v>
      </c>
      <c r="P143" s="120">
        <f t="shared" si="116"/>
        <v>0</v>
      </c>
      <c r="Q143" s="120">
        <f t="shared" si="116"/>
        <v>1</v>
      </c>
      <c r="R143" s="120">
        <f t="shared" si="116"/>
        <v>1</v>
      </c>
      <c r="S143" s="120">
        <f t="shared" si="116"/>
        <v>0</v>
      </c>
      <c r="T143" s="120">
        <f t="shared" si="116"/>
        <v>1</v>
      </c>
      <c r="U143" s="120">
        <f t="shared" si="116"/>
        <v>1</v>
      </c>
      <c r="V143" s="120">
        <f t="shared" si="116"/>
        <v>1</v>
      </c>
      <c r="W143" s="120">
        <f t="shared" si="116"/>
        <v>0</v>
      </c>
      <c r="X143" s="120">
        <f t="shared" si="116"/>
        <v>0</v>
      </c>
      <c r="Y143" s="120">
        <f t="shared" si="113"/>
        <v>0</v>
      </c>
      <c r="AA143" s="120">
        <f t="shared" si="114"/>
        <v>1</v>
      </c>
      <c r="AB143" s="120">
        <f t="shared" si="114"/>
        <v>1</v>
      </c>
      <c r="AC143" s="120">
        <f t="shared" si="114"/>
        <v>1</v>
      </c>
      <c r="AD143" s="120">
        <f t="shared" si="114"/>
        <v>1</v>
      </c>
      <c r="AE143" s="120">
        <f t="shared" si="114"/>
        <v>0</v>
      </c>
      <c r="AF143" s="120">
        <f t="shared" si="114"/>
        <v>0</v>
      </c>
      <c r="AG143" s="120">
        <f t="shared" si="114"/>
        <v>1</v>
      </c>
      <c r="AH143" s="120">
        <f t="shared" si="114"/>
        <v>1</v>
      </c>
      <c r="AI143" s="120">
        <f t="shared" si="114"/>
        <v>0</v>
      </c>
      <c r="AJ143" s="120">
        <f t="shared" si="114"/>
        <v>1</v>
      </c>
      <c r="AK143" s="120">
        <f t="shared" si="114"/>
        <v>0</v>
      </c>
      <c r="AL143" s="120">
        <f t="shared" si="114"/>
        <v>0</v>
      </c>
      <c r="AM143" s="120">
        <f t="shared" si="114"/>
        <v>0</v>
      </c>
      <c r="AN143" s="120">
        <f t="shared" si="114"/>
        <v>0</v>
      </c>
      <c r="AO143" s="120">
        <f t="shared" si="114"/>
        <v>0</v>
      </c>
      <c r="AP143" s="120">
        <f t="shared" si="114"/>
        <v>1</v>
      </c>
      <c r="AQ143" s="120">
        <f t="shared" si="114"/>
        <v>1</v>
      </c>
      <c r="AR143" s="120">
        <f t="shared" si="114"/>
        <v>0</v>
      </c>
      <c r="AS143" s="120">
        <f t="shared" si="114"/>
        <v>1</v>
      </c>
      <c r="AT143" s="120">
        <f t="shared" si="114"/>
        <v>1</v>
      </c>
      <c r="AU143" s="120">
        <f t="shared" si="114"/>
        <v>1</v>
      </c>
      <c r="AV143" s="120">
        <f t="shared" si="114"/>
        <v>0</v>
      </c>
      <c r="AW143" s="120">
        <f t="shared" si="114"/>
        <v>0</v>
      </c>
      <c r="AX143" s="120">
        <f t="shared" si="114"/>
        <v>0</v>
      </c>
      <c r="AY143" s="120">
        <f t="shared" si="115"/>
        <v>12</v>
      </c>
      <c r="AZ143" s="20" t="s">
        <v>134</v>
      </c>
    </row>
    <row r="144" spans="1:52">
      <c r="A144" s="120" t="s">
        <v>150</v>
      </c>
      <c r="B144" s="120">
        <f t="shared" si="116"/>
        <v>0</v>
      </c>
      <c r="C144" s="120">
        <f t="shared" si="116"/>
        <v>0</v>
      </c>
      <c r="D144" s="120">
        <f t="shared" si="116"/>
        <v>1</v>
      </c>
      <c r="E144" s="120">
        <f t="shared" si="116"/>
        <v>1</v>
      </c>
      <c r="F144" s="120">
        <f t="shared" si="116"/>
        <v>0</v>
      </c>
      <c r="G144" s="120">
        <f t="shared" si="116"/>
        <v>0</v>
      </c>
      <c r="H144" s="120">
        <f t="shared" si="116"/>
        <v>1</v>
      </c>
      <c r="I144" s="120">
        <f t="shared" si="116"/>
        <v>1</v>
      </c>
      <c r="J144" s="120">
        <f t="shared" si="116"/>
        <v>1</v>
      </c>
      <c r="K144" s="120">
        <f t="shared" si="116"/>
        <v>1</v>
      </c>
      <c r="L144" s="120">
        <f t="shared" si="116"/>
        <v>1</v>
      </c>
      <c r="M144" s="120">
        <f t="shared" si="116"/>
        <v>1</v>
      </c>
      <c r="N144" s="120">
        <f t="shared" si="116"/>
        <v>0</v>
      </c>
      <c r="O144" s="120">
        <f t="shared" si="116"/>
        <v>1</v>
      </c>
      <c r="P144" s="120">
        <f t="shared" si="116"/>
        <v>1</v>
      </c>
      <c r="Q144" s="120">
        <f t="shared" si="116"/>
        <v>0</v>
      </c>
      <c r="R144" s="120">
        <f t="shared" si="116"/>
        <v>1</v>
      </c>
      <c r="S144" s="120">
        <f t="shared" si="116"/>
        <v>1</v>
      </c>
      <c r="T144" s="120">
        <f t="shared" si="116"/>
        <v>1</v>
      </c>
      <c r="U144" s="120">
        <f t="shared" si="116"/>
        <v>1</v>
      </c>
      <c r="V144" s="120">
        <f t="shared" si="116"/>
        <v>0</v>
      </c>
      <c r="W144" s="120">
        <f t="shared" si="116"/>
        <v>1</v>
      </c>
      <c r="X144" s="120">
        <f t="shared" si="116"/>
        <v>0</v>
      </c>
      <c r="Y144" s="120">
        <f t="shared" si="113"/>
        <v>1</v>
      </c>
      <c r="AA144" s="120">
        <f t="shared" si="114"/>
        <v>0</v>
      </c>
      <c r="AB144" s="120">
        <f t="shared" si="114"/>
        <v>0</v>
      </c>
      <c r="AC144" s="120">
        <f t="shared" si="114"/>
        <v>1</v>
      </c>
      <c r="AD144" s="120">
        <f t="shared" si="114"/>
        <v>1</v>
      </c>
      <c r="AE144" s="120">
        <f t="shared" si="114"/>
        <v>0</v>
      </c>
      <c r="AF144" s="120">
        <f t="shared" si="114"/>
        <v>0</v>
      </c>
      <c r="AG144" s="120">
        <f t="shared" si="114"/>
        <v>1</v>
      </c>
      <c r="AH144" s="120">
        <f t="shared" si="114"/>
        <v>1</v>
      </c>
      <c r="AI144" s="120">
        <f t="shared" si="114"/>
        <v>1</v>
      </c>
      <c r="AJ144" s="120">
        <f t="shared" si="114"/>
        <v>1</v>
      </c>
      <c r="AK144" s="120">
        <f t="shared" si="114"/>
        <v>1</v>
      </c>
      <c r="AL144" s="120">
        <f t="shared" si="114"/>
        <v>1</v>
      </c>
      <c r="AM144" s="120">
        <f t="shared" si="114"/>
        <v>0</v>
      </c>
      <c r="AN144" s="120">
        <f t="shared" si="114"/>
        <v>1</v>
      </c>
      <c r="AO144" s="120">
        <f t="shared" si="114"/>
        <v>1</v>
      </c>
      <c r="AP144" s="120">
        <f t="shared" si="114"/>
        <v>0</v>
      </c>
      <c r="AQ144" s="120">
        <f t="shared" si="114"/>
        <v>1</v>
      </c>
      <c r="AR144" s="120">
        <f t="shared" si="114"/>
        <v>1</v>
      </c>
      <c r="AS144" s="120">
        <f t="shared" si="114"/>
        <v>1</v>
      </c>
      <c r="AT144" s="120">
        <f t="shared" si="114"/>
        <v>1</v>
      </c>
      <c r="AU144" s="120">
        <f t="shared" si="114"/>
        <v>0</v>
      </c>
      <c r="AV144" s="120">
        <f t="shared" si="114"/>
        <v>1</v>
      </c>
      <c r="AW144" s="120">
        <f t="shared" si="114"/>
        <v>0</v>
      </c>
      <c r="AX144" s="120">
        <f t="shared" si="114"/>
        <v>1</v>
      </c>
      <c r="AY144" s="120">
        <f t="shared" si="115"/>
        <v>16</v>
      </c>
      <c r="AZ144" s="20" t="s">
        <v>134</v>
      </c>
    </row>
    <row r="145" spans="1:52">
      <c r="A145" s="120" t="s">
        <v>151</v>
      </c>
      <c r="B145" s="120">
        <f t="shared" si="116"/>
        <v>1</v>
      </c>
      <c r="C145" s="120">
        <f t="shared" si="116"/>
        <v>1</v>
      </c>
      <c r="D145" s="120">
        <f t="shared" si="116"/>
        <v>0</v>
      </c>
      <c r="E145" s="120">
        <f t="shared" si="116"/>
        <v>0</v>
      </c>
      <c r="F145" s="120">
        <f t="shared" si="116"/>
        <v>0</v>
      </c>
      <c r="G145" s="120">
        <f t="shared" si="116"/>
        <v>0</v>
      </c>
      <c r="H145" s="120">
        <f t="shared" si="116"/>
        <v>1</v>
      </c>
      <c r="I145" s="120">
        <f t="shared" si="116"/>
        <v>1</v>
      </c>
      <c r="J145" s="120">
        <f t="shared" si="116"/>
        <v>1</v>
      </c>
      <c r="K145" s="120">
        <f t="shared" si="116"/>
        <v>1</v>
      </c>
      <c r="L145" s="120">
        <f t="shared" si="116"/>
        <v>0</v>
      </c>
      <c r="M145" s="120">
        <f t="shared" si="116"/>
        <v>1</v>
      </c>
      <c r="N145" s="120">
        <f t="shared" si="116"/>
        <v>0</v>
      </c>
      <c r="O145" s="120">
        <f t="shared" si="116"/>
        <v>1</v>
      </c>
      <c r="P145" s="120">
        <f t="shared" si="116"/>
        <v>1</v>
      </c>
      <c r="Q145" s="120">
        <f t="shared" si="116"/>
        <v>1</v>
      </c>
      <c r="R145" s="120">
        <f t="shared" si="116"/>
        <v>0</v>
      </c>
      <c r="S145" s="120">
        <f t="shared" si="116"/>
        <v>1</v>
      </c>
      <c r="T145" s="120">
        <f t="shared" si="116"/>
        <v>1</v>
      </c>
      <c r="U145" s="120">
        <f t="shared" si="116"/>
        <v>1</v>
      </c>
      <c r="V145" s="120">
        <f t="shared" si="116"/>
        <v>1</v>
      </c>
      <c r="W145" s="120">
        <f t="shared" si="116"/>
        <v>1</v>
      </c>
      <c r="X145" s="120">
        <f t="shared" si="116"/>
        <v>1</v>
      </c>
      <c r="Y145" s="120">
        <f t="shared" si="113"/>
        <v>1</v>
      </c>
      <c r="AA145" s="120">
        <f t="shared" si="114"/>
        <v>1</v>
      </c>
      <c r="AB145" s="120">
        <f t="shared" si="114"/>
        <v>1</v>
      </c>
      <c r="AC145" s="120">
        <f t="shared" si="114"/>
        <v>0</v>
      </c>
      <c r="AD145" s="120">
        <f t="shared" si="114"/>
        <v>0</v>
      </c>
      <c r="AE145" s="120">
        <f t="shared" si="114"/>
        <v>0</v>
      </c>
      <c r="AF145" s="120">
        <f t="shared" si="114"/>
        <v>0</v>
      </c>
      <c r="AG145" s="120">
        <f t="shared" si="114"/>
        <v>1</v>
      </c>
      <c r="AH145" s="120">
        <f t="shared" si="114"/>
        <v>1</v>
      </c>
      <c r="AI145" s="120">
        <f t="shared" si="114"/>
        <v>1</v>
      </c>
      <c r="AJ145" s="120">
        <f t="shared" si="114"/>
        <v>1</v>
      </c>
      <c r="AK145" s="120">
        <f t="shared" si="114"/>
        <v>0</v>
      </c>
      <c r="AL145" s="120">
        <f t="shared" si="114"/>
        <v>1</v>
      </c>
      <c r="AM145" s="120">
        <f t="shared" si="114"/>
        <v>0</v>
      </c>
      <c r="AN145" s="120">
        <f t="shared" si="114"/>
        <v>1</v>
      </c>
      <c r="AO145" s="120">
        <f t="shared" si="114"/>
        <v>1</v>
      </c>
      <c r="AP145" s="120">
        <f t="shared" si="114"/>
        <v>1</v>
      </c>
      <c r="AQ145" s="120">
        <f t="shared" si="114"/>
        <v>0</v>
      </c>
      <c r="AR145" s="120">
        <f t="shared" si="114"/>
        <v>1</v>
      </c>
      <c r="AS145" s="120">
        <f t="shared" si="114"/>
        <v>1</v>
      </c>
      <c r="AT145" s="120">
        <f t="shared" si="114"/>
        <v>1</v>
      </c>
      <c r="AU145" s="120">
        <f t="shared" si="114"/>
        <v>1</v>
      </c>
      <c r="AV145" s="120">
        <f t="shared" si="114"/>
        <v>1</v>
      </c>
      <c r="AW145" s="120">
        <f t="shared" si="114"/>
        <v>1</v>
      </c>
      <c r="AX145" s="120">
        <f t="shared" si="114"/>
        <v>0.5</v>
      </c>
      <c r="AY145" s="120">
        <f t="shared" si="115"/>
        <v>16.5</v>
      </c>
      <c r="AZ145" s="20" t="s">
        <v>134</v>
      </c>
    </row>
    <row r="146" spans="1:52">
      <c r="A146" s="120" t="s">
        <v>152</v>
      </c>
      <c r="B146" s="120">
        <f t="shared" si="116"/>
        <v>0</v>
      </c>
      <c r="C146" s="120">
        <f t="shared" si="116"/>
        <v>0</v>
      </c>
      <c r="D146" s="120">
        <f t="shared" si="116"/>
        <v>1</v>
      </c>
      <c r="E146" s="120">
        <f t="shared" si="116"/>
        <v>0</v>
      </c>
      <c r="F146" s="120">
        <f t="shared" si="116"/>
        <v>1</v>
      </c>
      <c r="G146" s="120">
        <f t="shared" si="116"/>
        <v>0</v>
      </c>
      <c r="H146" s="120">
        <f t="shared" si="116"/>
        <v>0</v>
      </c>
      <c r="I146" s="120">
        <f t="shared" si="116"/>
        <v>1</v>
      </c>
      <c r="J146" s="120">
        <f t="shared" si="116"/>
        <v>1</v>
      </c>
      <c r="K146" s="120">
        <f t="shared" si="116"/>
        <v>0</v>
      </c>
      <c r="L146" s="120">
        <f t="shared" si="116"/>
        <v>1</v>
      </c>
      <c r="M146" s="120">
        <f t="shared" si="116"/>
        <v>1</v>
      </c>
      <c r="N146" s="120">
        <f t="shared" si="116"/>
        <v>1</v>
      </c>
      <c r="O146" s="120">
        <f t="shared" si="116"/>
        <v>1</v>
      </c>
      <c r="P146" s="120">
        <f t="shared" si="116"/>
        <v>1</v>
      </c>
      <c r="Q146" s="120">
        <f t="shared" si="116"/>
        <v>1</v>
      </c>
      <c r="R146" s="120">
        <f t="shared" si="116"/>
        <v>0</v>
      </c>
      <c r="S146" s="120">
        <f t="shared" si="116"/>
        <v>1</v>
      </c>
      <c r="T146" s="120">
        <f t="shared" si="116"/>
        <v>1</v>
      </c>
      <c r="U146" s="120">
        <f t="shared" si="116"/>
        <v>1</v>
      </c>
      <c r="V146" s="120">
        <f t="shared" si="116"/>
        <v>1</v>
      </c>
      <c r="W146" s="120">
        <f t="shared" si="116"/>
        <v>1</v>
      </c>
      <c r="X146" s="120">
        <f t="shared" si="116"/>
        <v>1</v>
      </c>
      <c r="Y146" s="120">
        <f t="shared" si="113"/>
        <v>1</v>
      </c>
      <c r="AA146" s="120">
        <f t="shared" si="114"/>
        <v>0</v>
      </c>
      <c r="AB146" s="120">
        <f t="shared" si="114"/>
        <v>0</v>
      </c>
      <c r="AC146" s="120">
        <f t="shared" si="114"/>
        <v>0.5</v>
      </c>
      <c r="AD146" s="120">
        <f t="shared" si="114"/>
        <v>0</v>
      </c>
      <c r="AE146" s="120">
        <f t="shared" si="114"/>
        <v>0.5</v>
      </c>
      <c r="AF146" s="120">
        <f t="shared" si="114"/>
        <v>0</v>
      </c>
      <c r="AG146" s="120">
        <f t="shared" si="114"/>
        <v>0</v>
      </c>
      <c r="AH146" s="120">
        <f t="shared" si="114"/>
        <v>1</v>
      </c>
      <c r="AI146" s="120">
        <f t="shared" si="114"/>
        <v>1</v>
      </c>
      <c r="AJ146" s="120">
        <f t="shared" si="114"/>
        <v>0</v>
      </c>
      <c r="AK146" s="120">
        <f t="shared" si="114"/>
        <v>1</v>
      </c>
      <c r="AL146" s="120">
        <f t="shared" si="114"/>
        <v>1</v>
      </c>
      <c r="AM146" s="120">
        <f t="shared" si="114"/>
        <v>1</v>
      </c>
      <c r="AN146" s="120">
        <f t="shared" si="114"/>
        <v>1</v>
      </c>
      <c r="AO146" s="120">
        <f t="shared" si="114"/>
        <v>1</v>
      </c>
      <c r="AP146" s="120">
        <f t="shared" si="114"/>
        <v>1</v>
      </c>
      <c r="AQ146" s="120">
        <f t="shared" si="114"/>
        <v>0</v>
      </c>
      <c r="AR146" s="120">
        <f t="shared" si="114"/>
        <v>1</v>
      </c>
      <c r="AS146" s="120">
        <f t="shared" si="114"/>
        <v>1</v>
      </c>
      <c r="AT146" s="120">
        <f t="shared" si="114"/>
        <v>1</v>
      </c>
      <c r="AU146" s="120">
        <f t="shared" si="114"/>
        <v>1</v>
      </c>
      <c r="AV146" s="120">
        <f t="shared" si="114"/>
        <v>1</v>
      </c>
      <c r="AW146" s="120">
        <f t="shared" si="114"/>
        <v>1</v>
      </c>
      <c r="AX146" s="120">
        <f t="shared" si="114"/>
        <v>1</v>
      </c>
      <c r="AY146" s="120">
        <f t="shared" si="115"/>
        <v>16</v>
      </c>
      <c r="AZ146" s="20" t="s">
        <v>134</v>
      </c>
    </row>
    <row r="147" spans="1:52">
      <c r="A147" s="120" t="s">
        <v>153</v>
      </c>
      <c r="B147" s="120">
        <f t="shared" si="116"/>
        <v>1</v>
      </c>
      <c r="C147" s="120">
        <f t="shared" si="116"/>
        <v>0</v>
      </c>
      <c r="D147" s="120">
        <f t="shared" si="116"/>
        <v>0</v>
      </c>
      <c r="E147" s="120">
        <f t="shared" si="116"/>
        <v>1</v>
      </c>
      <c r="F147" s="120">
        <f t="shared" si="116"/>
        <v>1</v>
      </c>
      <c r="G147" s="120">
        <f t="shared" si="116"/>
        <v>1</v>
      </c>
      <c r="H147" s="120">
        <f t="shared" si="116"/>
        <v>0</v>
      </c>
      <c r="I147" s="120">
        <f t="shared" si="116"/>
        <v>0</v>
      </c>
      <c r="J147" s="120">
        <f t="shared" si="116"/>
        <v>1</v>
      </c>
      <c r="K147" s="120">
        <f t="shared" si="116"/>
        <v>1</v>
      </c>
      <c r="L147" s="120">
        <f t="shared" si="116"/>
        <v>1</v>
      </c>
      <c r="M147" s="120">
        <f t="shared" si="116"/>
        <v>0</v>
      </c>
      <c r="N147" s="120">
        <f t="shared" si="116"/>
        <v>1</v>
      </c>
      <c r="O147" s="120">
        <f t="shared" si="116"/>
        <v>0</v>
      </c>
      <c r="P147" s="120">
        <f t="shared" si="116"/>
        <v>0</v>
      </c>
      <c r="Q147" s="120">
        <f t="shared" si="116"/>
        <v>1</v>
      </c>
      <c r="R147" s="120">
        <f t="shared" si="116"/>
        <v>1</v>
      </c>
      <c r="S147" s="120">
        <f t="shared" si="116"/>
        <v>1</v>
      </c>
      <c r="T147" s="120">
        <f t="shared" si="116"/>
        <v>1</v>
      </c>
      <c r="U147" s="120">
        <f t="shared" si="116"/>
        <v>1</v>
      </c>
      <c r="V147" s="120">
        <f t="shared" si="116"/>
        <v>1</v>
      </c>
      <c r="W147" s="120">
        <f t="shared" si="116"/>
        <v>1</v>
      </c>
      <c r="X147" s="120">
        <f t="shared" si="116"/>
        <v>1</v>
      </c>
      <c r="Y147" s="120">
        <f t="shared" si="113"/>
        <v>1</v>
      </c>
      <c r="AA147" s="120">
        <f t="shared" si="114"/>
        <v>1</v>
      </c>
      <c r="AB147" s="120">
        <f t="shared" si="114"/>
        <v>0</v>
      </c>
      <c r="AC147" s="120">
        <f t="shared" si="114"/>
        <v>0</v>
      </c>
      <c r="AD147" s="120">
        <f t="shared" si="114"/>
        <v>1</v>
      </c>
      <c r="AE147" s="120">
        <f t="shared" si="114"/>
        <v>1</v>
      </c>
      <c r="AF147" s="120">
        <f t="shared" si="114"/>
        <v>1</v>
      </c>
      <c r="AG147" s="120">
        <f t="shared" si="114"/>
        <v>0</v>
      </c>
      <c r="AH147" s="120">
        <f t="shared" si="114"/>
        <v>0</v>
      </c>
      <c r="AI147" s="120">
        <f t="shared" si="114"/>
        <v>1</v>
      </c>
      <c r="AJ147" s="120">
        <f t="shared" si="114"/>
        <v>1</v>
      </c>
      <c r="AK147" s="120">
        <f t="shared" si="114"/>
        <v>1</v>
      </c>
      <c r="AL147" s="120">
        <f t="shared" si="114"/>
        <v>0</v>
      </c>
      <c r="AM147" s="120">
        <f t="shared" si="114"/>
        <v>1</v>
      </c>
      <c r="AN147" s="120">
        <f t="shared" si="114"/>
        <v>0</v>
      </c>
      <c r="AO147" s="120">
        <f t="shared" si="114"/>
        <v>0</v>
      </c>
      <c r="AP147" s="120">
        <f t="shared" ref="AP147:AX162" si="117">IF(Q147=0,0,Q147/AP15)</f>
        <v>1</v>
      </c>
      <c r="AQ147" s="120">
        <f t="shared" si="117"/>
        <v>1</v>
      </c>
      <c r="AR147" s="120">
        <f t="shared" si="117"/>
        <v>1</v>
      </c>
      <c r="AS147" s="120">
        <f t="shared" si="117"/>
        <v>1</v>
      </c>
      <c r="AT147" s="120">
        <f t="shared" si="117"/>
        <v>1</v>
      </c>
      <c r="AU147" s="120">
        <f t="shared" si="117"/>
        <v>1</v>
      </c>
      <c r="AV147" s="120">
        <f t="shared" si="117"/>
        <v>1</v>
      </c>
      <c r="AW147" s="120">
        <f t="shared" si="117"/>
        <v>1</v>
      </c>
      <c r="AX147" s="120">
        <f t="shared" si="117"/>
        <v>1</v>
      </c>
      <c r="AY147" s="120">
        <f t="shared" si="115"/>
        <v>17</v>
      </c>
      <c r="AZ147" s="20" t="s">
        <v>134</v>
      </c>
    </row>
    <row r="148" spans="1:52">
      <c r="A148" s="120" t="s">
        <v>154</v>
      </c>
      <c r="B148" s="120">
        <f t="shared" si="116"/>
        <v>1</v>
      </c>
      <c r="C148" s="120">
        <f t="shared" si="116"/>
        <v>0</v>
      </c>
      <c r="D148" s="120">
        <f t="shared" si="116"/>
        <v>0</v>
      </c>
      <c r="E148" s="120">
        <f t="shared" si="116"/>
        <v>0</v>
      </c>
      <c r="F148" s="120">
        <f t="shared" si="116"/>
        <v>0</v>
      </c>
      <c r="G148" s="120">
        <f t="shared" si="116"/>
        <v>0</v>
      </c>
      <c r="H148" s="120">
        <f t="shared" si="116"/>
        <v>0</v>
      </c>
      <c r="I148" s="120">
        <f t="shared" si="116"/>
        <v>0</v>
      </c>
      <c r="J148" s="120">
        <f t="shared" si="116"/>
        <v>0</v>
      </c>
      <c r="K148" s="120">
        <f t="shared" si="116"/>
        <v>1</v>
      </c>
      <c r="L148" s="120">
        <f t="shared" si="116"/>
        <v>0</v>
      </c>
      <c r="M148" s="120">
        <f t="shared" si="116"/>
        <v>0</v>
      </c>
      <c r="N148" s="120">
        <f t="shared" si="116"/>
        <v>0</v>
      </c>
      <c r="O148" s="120">
        <f t="shared" si="116"/>
        <v>0</v>
      </c>
      <c r="P148" s="120">
        <f t="shared" si="116"/>
        <v>0</v>
      </c>
      <c r="Q148" s="120">
        <f t="shared" si="116"/>
        <v>0</v>
      </c>
      <c r="R148" s="120">
        <f t="shared" si="116"/>
        <v>0</v>
      </c>
      <c r="S148" s="120">
        <f t="shared" si="116"/>
        <v>0</v>
      </c>
      <c r="T148" s="120">
        <f t="shared" si="116"/>
        <v>0</v>
      </c>
      <c r="U148" s="120">
        <f t="shared" si="116"/>
        <v>1</v>
      </c>
      <c r="V148" s="120">
        <f t="shared" si="116"/>
        <v>1</v>
      </c>
      <c r="W148" s="120">
        <f t="shared" si="116"/>
        <v>1</v>
      </c>
      <c r="X148" s="120">
        <f t="shared" si="116"/>
        <v>0</v>
      </c>
      <c r="Y148" s="120">
        <f t="shared" si="113"/>
        <v>1</v>
      </c>
      <c r="AA148" s="120">
        <f t="shared" ref="AA148:AP163" si="118">IF(B148=0,0,B148/AA16)</f>
        <v>1</v>
      </c>
      <c r="AB148" s="120">
        <f t="shared" si="118"/>
        <v>0</v>
      </c>
      <c r="AC148" s="120">
        <f t="shared" si="118"/>
        <v>0</v>
      </c>
      <c r="AD148" s="120">
        <f t="shared" si="118"/>
        <v>0</v>
      </c>
      <c r="AE148" s="120">
        <f t="shared" si="118"/>
        <v>0</v>
      </c>
      <c r="AF148" s="120">
        <f t="shared" si="118"/>
        <v>0</v>
      </c>
      <c r="AG148" s="120">
        <f t="shared" si="118"/>
        <v>0</v>
      </c>
      <c r="AH148" s="120">
        <f t="shared" si="118"/>
        <v>0</v>
      </c>
      <c r="AI148" s="120">
        <f t="shared" si="118"/>
        <v>0</v>
      </c>
      <c r="AJ148" s="120">
        <f t="shared" si="118"/>
        <v>1</v>
      </c>
      <c r="AK148" s="120">
        <f t="shared" si="118"/>
        <v>0</v>
      </c>
      <c r="AL148" s="120">
        <f t="shared" si="118"/>
        <v>0</v>
      </c>
      <c r="AM148" s="120">
        <f t="shared" si="118"/>
        <v>0</v>
      </c>
      <c r="AN148" s="120">
        <f t="shared" si="118"/>
        <v>0</v>
      </c>
      <c r="AO148" s="120">
        <f t="shared" si="118"/>
        <v>0</v>
      </c>
      <c r="AP148" s="120">
        <f t="shared" si="117"/>
        <v>0</v>
      </c>
      <c r="AQ148" s="120">
        <f t="shared" si="117"/>
        <v>0</v>
      </c>
      <c r="AR148" s="120">
        <f t="shared" si="117"/>
        <v>0</v>
      </c>
      <c r="AS148" s="120">
        <f t="shared" si="117"/>
        <v>0</v>
      </c>
      <c r="AT148" s="120">
        <f t="shared" si="117"/>
        <v>1</v>
      </c>
      <c r="AU148" s="120">
        <f t="shared" si="117"/>
        <v>1</v>
      </c>
      <c r="AV148" s="120">
        <f t="shared" si="117"/>
        <v>1</v>
      </c>
      <c r="AW148" s="120">
        <f t="shared" si="117"/>
        <v>0</v>
      </c>
      <c r="AX148" s="120">
        <f t="shared" si="117"/>
        <v>1</v>
      </c>
      <c r="AY148" s="120">
        <f t="shared" si="115"/>
        <v>6</v>
      </c>
      <c r="AZ148" s="20" t="s">
        <v>134</v>
      </c>
    </row>
    <row r="149" spans="1:52">
      <c r="A149" s="120" t="s">
        <v>155</v>
      </c>
      <c r="B149" s="120">
        <f t="shared" si="116"/>
        <v>0</v>
      </c>
      <c r="C149" s="120">
        <f t="shared" si="116"/>
        <v>0</v>
      </c>
      <c r="D149" s="120">
        <f t="shared" ref="B149:X160" si="119">IF(IFERROR(FIND($A$136,D17,1),0)=0,0,1)</f>
        <v>1</v>
      </c>
      <c r="E149" s="120">
        <f t="shared" si="119"/>
        <v>0</v>
      </c>
      <c r="F149" s="120">
        <f t="shared" si="119"/>
        <v>0</v>
      </c>
      <c r="G149" s="120">
        <f t="shared" si="119"/>
        <v>0</v>
      </c>
      <c r="H149" s="120">
        <f t="shared" si="119"/>
        <v>1</v>
      </c>
      <c r="I149" s="120">
        <f t="shared" si="119"/>
        <v>1</v>
      </c>
      <c r="J149" s="120">
        <f t="shared" si="119"/>
        <v>0</v>
      </c>
      <c r="K149" s="120">
        <f t="shared" si="119"/>
        <v>1</v>
      </c>
      <c r="L149" s="120">
        <f t="shared" si="119"/>
        <v>1</v>
      </c>
      <c r="M149" s="120">
        <f t="shared" si="119"/>
        <v>1</v>
      </c>
      <c r="N149" s="120">
        <f t="shared" si="119"/>
        <v>1</v>
      </c>
      <c r="O149" s="120">
        <f t="shared" si="119"/>
        <v>0</v>
      </c>
      <c r="P149" s="120">
        <f t="shared" si="119"/>
        <v>1</v>
      </c>
      <c r="Q149" s="120">
        <f t="shared" si="119"/>
        <v>1</v>
      </c>
      <c r="R149" s="120">
        <f t="shared" si="119"/>
        <v>1</v>
      </c>
      <c r="S149" s="120">
        <f t="shared" si="119"/>
        <v>0</v>
      </c>
      <c r="T149" s="120">
        <f t="shared" si="119"/>
        <v>0</v>
      </c>
      <c r="U149" s="120">
        <f t="shared" si="119"/>
        <v>1</v>
      </c>
      <c r="V149" s="120">
        <f t="shared" si="119"/>
        <v>0</v>
      </c>
      <c r="W149" s="120">
        <f t="shared" si="119"/>
        <v>1</v>
      </c>
      <c r="X149" s="120">
        <f t="shared" si="119"/>
        <v>1</v>
      </c>
      <c r="Y149" s="120">
        <f t="shared" si="113"/>
        <v>0</v>
      </c>
      <c r="AA149" s="120">
        <f t="shared" si="118"/>
        <v>0</v>
      </c>
      <c r="AB149" s="120">
        <f t="shared" si="118"/>
        <v>0</v>
      </c>
      <c r="AC149" s="120">
        <f t="shared" si="118"/>
        <v>1</v>
      </c>
      <c r="AD149" s="120">
        <f t="shared" si="118"/>
        <v>0</v>
      </c>
      <c r="AE149" s="120">
        <f t="shared" si="118"/>
        <v>0</v>
      </c>
      <c r="AF149" s="120">
        <f t="shared" si="118"/>
        <v>0</v>
      </c>
      <c r="AG149" s="120">
        <f t="shared" si="118"/>
        <v>1</v>
      </c>
      <c r="AH149" s="120">
        <f t="shared" si="118"/>
        <v>1</v>
      </c>
      <c r="AI149" s="120">
        <f t="shared" si="118"/>
        <v>0</v>
      </c>
      <c r="AJ149" s="120">
        <f t="shared" si="118"/>
        <v>1</v>
      </c>
      <c r="AK149" s="120">
        <f t="shared" si="118"/>
        <v>1</v>
      </c>
      <c r="AL149" s="120">
        <f t="shared" si="118"/>
        <v>1</v>
      </c>
      <c r="AM149" s="120">
        <f t="shared" si="118"/>
        <v>1</v>
      </c>
      <c r="AN149" s="120">
        <f t="shared" si="118"/>
        <v>0</v>
      </c>
      <c r="AO149" s="120">
        <f t="shared" si="118"/>
        <v>1</v>
      </c>
      <c r="AP149" s="120">
        <f t="shared" si="117"/>
        <v>1</v>
      </c>
      <c r="AQ149" s="120">
        <f t="shared" si="117"/>
        <v>1</v>
      </c>
      <c r="AR149" s="120">
        <f t="shared" si="117"/>
        <v>0</v>
      </c>
      <c r="AS149" s="120">
        <f t="shared" si="117"/>
        <v>0</v>
      </c>
      <c r="AT149" s="120">
        <f t="shared" si="117"/>
        <v>1</v>
      </c>
      <c r="AU149" s="120">
        <f t="shared" si="117"/>
        <v>0</v>
      </c>
      <c r="AV149" s="120">
        <f t="shared" si="117"/>
        <v>1</v>
      </c>
      <c r="AW149" s="120">
        <f t="shared" si="117"/>
        <v>1</v>
      </c>
      <c r="AX149" s="120">
        <f t="shared" si="117"/>
        <v>0</v>
      </c>
      <c r="AY149" s="120">
        <f t="shared" si="115"/>
        <v>13</v>
      </c>
      <c r="AZ149" s="20" t="s">
        <v>134</v>
      </c>
    </row>
    <row r="150" spans="1:52">
      <c r="A150" s="120" t="s">
        <v>156</v>
      </c>
      <c r="B150" s="120">
        <f t="shared" si="119"/>
        <v>0</v>
      </c>
      <c r="C150" s="120">
        <f t="shared" si="119"/>
        <v>0</v>
      </c>
      <c r="D150" s="120">
        <f t="shared" si="119"/>
        <v>0</v>
      </c>
      <c r="E150" s="120">
        <f t="shared" si="119"/>
        <v>1</v>
      </c>
      <c r="F150" s="120">
        <f t="shared" si="119"/>
        <v>0</v>
      </c>
      <c r="G150" s="120">
        <f t="shared" si="119"/>
        <v>1</v>
      </c>
      <c r="H150" s="120">
        <f t="shared" si="119"/>
        <v>1</v>
      </c>
      <c r="I150" s="120">
        <f t="shared" si="119"/>
        <v>1</v>
      </c>
      <c r="J150" s="120">
        <f t="shared" si="119"/>
        <v>0</v>
      </c>
      <c r="K150" s="120">
        <f t="shared" si="119"/>
        <v>1</v>
      </c>
      <c r="L150" s="120">
        <f t="shared" si="119"/>
        <v>0</v>
      </c>
      <c r="M150" s="120">
        <f t="shared" si="119"/>
        <v>0</v>
      </c>
      <c r="N150" s="120">
        <f t="shared" si="119"/>
        <v>0</v>
      </c>
      <c r="O150" s="120">
        <f t="shared" si="119"/>
        <v>0</v>
      </c>
      <c r="P150" s="120">
        <f t="shared" si="119"/>
        <v>0</v>
      </c>
      <c r="Q150" s="120">
        <f t="shared" si="119"/>
        <v>0</v>
      </c>
      <c r="R150" s="120">
        <f t="shared" si="119"/>
        <v>1</v>
      </c>
      <c r="S150" s="120">
        <f t="shared" si="119"/>
        <v>0</v>
      </c>
      <c r="T150" s="120">
        <f t="shared" si="119"/>
        <v>1</v>
      </c>
      <c r="U150" s="120">
        <f t="shared" si="119"/>
        <v>0</v>
      </c>
      <c r="V150" s="120">
        <f t="shared" si="119"/>
        <v>1</v>
      </c>
      <c r="W150" s="120">
        <f t="shared" si="119"/>
        <v>0</v>
      </c>
      <c r="X150" s="120">
        <f t="shared" si="119"/>
        <v>1</v>
      </c>
      <c r="Y150" s="120">
        <f t="shared" si="113"/>
        <v>1</v>
      </c>
      <c r="AA150" s="120">
        <f t="shared" si="118"/>
        <v>0</v>
      </c>
      <c r="AB150" s="120">
        <f t="shared" si="118"/>
        <v>0</v>
      </c>
      <c r="AC150" s="120">
        <f t="shared" si="118"/>
        <v>0</v>
      </c>
      <c r="AD150" s="120">
        <f t="shared" si="118"/>
        <v>1</v>
      </c>
      <c r="AE150" s="120">
        <f t="shared" si="118"/>
        <v>0</v>
      </c>
      <c r="AF150" s="120">
        <f t="shared" si="118"/>
        <v>1</v>
      </c>
      <c r="AG150" s="120">
        <f t="shared" si="118"/>
        <v>1</v>
      </c>
      <c r="AH150" s="120">
        <f t="shared" si="118"/>
        <v>1</v>
      </c>
      <c r="AI150" s="120">
        <f t="shared" si="118"/>
        <v>0</v>
      </c>
      <c r="AJ150" s="120">
        <f t="shared" si="118"/>
        <v>1</v>
      </c>
      <c r="AK150" s="120">
        <f t="shared" si="118"/>
        <v>0</v>
      </c>
      <c r="AL150" s="120">
        <f t="shared" si="118"/>
        <v>0</v>
      </c>
      <c r="AM150" s="120">
        <f t="shared" si="118"/>
        <v>0</v>
      </c>
      <c r="AN150" s="120">
        <f t="shared" si="118"/>
        <v>0</v>
      </c>
      <c r="AO150" s="120">
        <f t="shared" si="118"/>
        <v>0</v>
      </c>
      <c r="AP150" s="120">
        <f t="shared" si="117"/>
        <v>0</v>
      </c>
      <c r="AQ150" s="120">
        <f t="shared" si="117"/>
        <v>1</v>
      </c>
      <c r="AR150" s="120">
        <f t="shared" si="117"/>
        <v>0</v>
      </c>
      <c r="AS150" s="120">
        <f t="shared" si="117"/>
        <v>1</v>
      </c>
      <c r="AT150" s="120">
        <f t="shared" si="117"/>
        <v>0</v>
      </c>
      <c r="AU150" s="120">
        <f t="shared" si="117"/>
        <v>1</v>
      </c>
      <c r="AV150" s="120">
        <f t="shared" si="117"/>
        <v>0</v>
      </c>
      <c r="AW150" s="120">
        <f t="shared" si="117"/>
        <v>1</v>
      </c>
      <c r="AX150" s="120">
        <f t="shared" si="117"/>
        <v>1</v>
      </c>
      <c r="AY150" s="120">
        <f t="shared" si="115"/>
        <v>10</v>
      </c>
      <c r="AZ150" s="20" t="s">
        <v>134</v>
      </c>
    </row>
    <row r="151" spans="1:52">
      <c r="A151" s="120" t="s">
        <v>157</v>
      </c>
      <c r="B151" s="120">
        <f t="shared" si="119"/>
        <v>0</v>
      </c>
      <c r="C151" s="120">
        <f t="shared" si="119"/>
        <v>0</v>
      </c>
      <c r="D151" s="120">
        <f t="shared" si="119"/>
        <v>0</v>
      </c>
      <c r="E151" s="120">
        <f t="shared" si="119"/>
        <v>0</v>
      </c>
      <c r="F151" s="120">
        <f t="shared" si="119"/>
        <v>0</v>
      </c>
      <c r="G151" s="120">
        <f t="shared" si="119"/>
        <v>0</v>
      </c>
      <c r="H151" s="120">
        <f t="shared" si="119"/>
        <v>1</v>
      </c>
      <c r="I151" s="120">
        <f t="shared" si="119"/>
        <v>1</v>
      </c>
      <c r="J151" s="120">
        <f t="shared" si="119"/>
        <v>1</v>
      </c>
      <c r="K151" s="120">
        <f t="shared" si="119"/>
        <v>1</v>
      </c>
      <c r="L151" s="120">
        <f t="shared" si="119"/>
        <v>0</v>
      </c>
      <c r="M151" s="120">
        <f t="shared" si="119"/>
        <v>0</v>
      </c>
      <c r="N151" s="120">
        <f t="shared" si="119"/>
        <v>0</v>
      </c>
      <c r="O151" s="120">
        <f t="shared" si="119"/>
        <v>0</v>
      </c>
      <c r="P151" s="120">
        <f t="shared" si="119"/>
        <v>0</v>
      </c>
      <c r="Q151" s="120">
        <f t="shared" si="119"/>
        <v>0</v>
      </c>
      <c r="R151" s="120">
        <f t="shared" si="119"/>
        <v>1</v>
      </c>
      <c r="S151" s="120">
        <f t="shared" si="119"/>
        <v>1</v>
      </c>
      <c r="T151" s="120">
        <f t="shared" si="119"/>
        <v>1</v>
      </c>
      <c r="U151" s="120">
        <f t="shared" si="119"/>
        <v>1</v>
      </c>
      <c r="V151" s="120">
        <f t="shared" si="119"/>
        <v>1</v>
      </c>
      <c r="W151" s="120">
        <f t="shared" si="119"/>
        <v>0</v>
      </c>
      <c r="X151" s="120">
        <f t="shared" si="119"/>
        <v>1</v>
      </c>
      <c r="Y151" s="120">
        <f t="shared" si="113"/>
        <v>1</v>
      </c>
      <c r="AA151" s="120">
        <f t="shared" si="118"/>
        <v>0</v>
      </c>
      <c r="AB151" s="120">
        <f t="shared" si="118"/>
        <v>0</v>
      </c>
      <c r="AC151" s="120">
        <f t="shared" si="118"/>
        <v>0</v>
      </c>
      <c r="AD151" s="120">
        <f t="shared" si="118"/>
        <v>0</v>
      </c>
      <c r="AE151" s="120">
        <f t="shared" si="118"/>
        <v>0</v>
      </c>
      <c r="AF151" s="120">
        <f t="shared" si="118"/>
        <v>0</v>
      </c>
      <c r="AG151" s="120">
        <f t="shared" si="118"/>
        <v>1</v>
      </c>
      <c r="AH151" s="120">
        <f t="shared" si="118"/>
        <v>1</v>
      </c>
      <c r="AI151" s="120">
        <f t="shared" si="118"/>
        <v>1</v>
      </c>
      <c r="AJ151" s="120">
        <f t="shared" si="118"/>
        <v>0.33333333333333331</v>
      </c>
      <c r="AK151" s="120">
        <f t="shared" si="118"/>
        <v>0</v>
      </c>
      <c r="AL151" s="120">
        <f t="shared" si="118"/>
        <v>0</v>
      </c>
      <c r="AM151" s="120">
        <f t="shared" si="118"/>
        <v>0</v>
      </c>
      <c r="AN151" s="120">
        <f t="shared" si="118"/>
        <v>0</v>
      </c>
      <c r="AO151" s="120">
        <f t="shared" si="118"/>
        <v>0</v>
      </c>
      <c r="AP151" s="120">
        <f t="shared" si="117"/>
        <v>0</v>
      </c>
      <c r="AQ151" s="120">
        <f t="shared" si="117"/>
        <v>1</v>
      </c>
      <c r="AR151" s="120">
        <f t="shared" si="117"/>
        <v>1</v>
      </c>
      <c r="AS151" s="120">
        <f t="shared" si="117"/>
        <v>1</v>
      </c>
      <c r="AT151" s="120">
        <f t="shared" si="117"/>
        <v>1</v>
      </c>
      <c r="AU151" s="120">
        <f t="shared" si="117"/>
        <v>1</v>
      </c>
      <c r="AV151" s="120">
        <f t="shared" si="117"/>
        <v>0</v>
      </c>
      <c r="AW151" s="120">
        <f t="shared" si="117"/>
        <v>1</v>
      </c>
      <c r="AX151" s="120">
        <f t="shared" si="117"/>
        <v>1</v>
      </c>
      <c r="AY151" s="120">
        <f t="shared" si="115"/>
        <v>10.333333333333334</v>
      </c>
      <c r="AZ151" s="20" t="s">
        <v>134</v>
      </c>
    </row>
    <row r="152" spans="1:52">
      <c r="A152" s="120" t="s">
        <v>158</v>
      </c>
      <c r="B152" s="120">
        <f t="shared" si="119"/>
        <v>1</v>
      </c>
      <c r="C152" s="120">
        <f t="shared" si="119"/>
        <v>1</v>
      </c>
      <c r="D152" s="120">
        <f t="shared" si="119"/>
        <v>0</v>
      </c>
      <c r="E152" s="120">
        <f t="shared" si="119"/>
        <v>0</v>
      </c>
      <c r="F152" s="120">
        <f t="shared" si="119"/>
        <v>0</v>
      </c>
      <c r="G152" s="120">
        <f t="shared" si="119"/>
        <v>1</v>
      </c>
      <c r="H152" s="120">
        <f t="shared" si="119"/>
        <v>1</v>
      </c>
      <c r="I152" s="120">
        <f t="shared" si="119"/>
        <v>1</v>
      </c>
      <c r="J152" s="120">
        <f t="shared" si="119"/>
        <v>1</v>
      </c>
      <c r="K152" s="120">
        <f t="shared" si="119"/>
        <v>1</v>
      </c>
      <c r="L152" s="120">
        <f t="shared" si="119"/>
        <v>1</v>
      </c>
      <c r="M152" s="120">
        <f t="shared" si="119"/>
        <v>0</v>
      </c>
      <c r="N152" s="120">
        <f t="shared" si="119"/>
        <v>0</v>
      </c>
      <c r="O152" s="120">
        <f t="shared" si="119"/>
        <v>0</v>
      </c>
      <c r="P152" s="120">
        <f t="shared" si="119"/>
        <v>0</v>
      </c>
      <c r="Q152" s="120">
        <f t="shared" si="119"/>
        <v>0</v>
      </c>
      <c r="R152" s="120">
        <f t="shared" si="119"/>
        <v>0</v>
      </c>
      <c r="S152" s="120">
        <f t="shared" si="119"/>
        <v>1</v>
      </c>
      <c r="T152" s="120">
        <f t="shared" si="119"/>
        <v>1</v>
      </c>
      <c r="U152" s="120">
        <f t="shared" si="119"/>
        <v>1</v>
      </c>
      <c r="V152" s="120">
        <f t="shared" si="119"/>
        <v>1</v>
      </c>
      <c r="W152" s="120">
        <f t="shared" si="119"/>
        <v>0</v>
      </c>
      <c r="X152" s="120">
        <f t="shared" si="119"/>
        <v>0</v>
      </c>
      <c r="Y152" s="120">
        <f t="shared" si="113"/>
        <v>1</v>
      </c>
      <c r="AA152" s="120">
        <f t="shared" si="118"/>
        <v>1</v>
      </c>
      <c r="AB152" s="120">
        <f t="shared" si="118"/>
        <v>1</v>
      </c>
      <c r="AC152" s="120">
        <f t="shared" si="118"/>
        <v>0</v>
      </c>
      <c r="AD152" s="120">
        <f t="shared" si="118"/>
        <v>0</v>
      </c>
      <c r="AE152" s="120">
        <f t="shared" si="118"/>
        <v>0</v>
      </c>
      <c r="AF152" s="120">
        <f t="shared" si="118"/>
        <v>1</v>
      </c>
      <c r="AG152" s="120">
        <f t="shared" si="118"/>
        <v>1</v>
      </c>
      <c r="AH152" s="120">
        <f t="shared" si="118"/>
        <v>1</v>
      </c>
      <c r="AI152" s="120">
        <f t="shared" si="118"/>
        <v>0.5</v>
      </c>
      <c r="AJ152" s="120">
        <f t="shared" si="118"/>
        <v>1</v>
      </c>
      <c r="AK152" s="120">
        <f t="shared" si="118"/>
        <v>0.5</v>
      </c>
      <c r="AL152" s="120">
        <f t="shared" si="118"/>
        <v>0</v>
      </c>
      <c r="AM152" s="120">
        <f t="shared" si="118"/>
        <v>0</v>
      </c>
      <c r="AN152" s="120">
        <f t="shared" si="118"/>
        <v>0</v>
      </c>
      <c r="AO152" s="120">
        <f t="shared" si="118"/>
        <v>0</v>
      </c>
      <c r="AP152" s="120">
        <f t="shared" si="117"/>
        <v>0</v>
      </c>
      <c r="AQ152" s="120">
        <f t="shared" si="117"/>
        <v>0</v>
      </c>
      <c r="AR152" s="120">
        <f t="shared" si="117"/>
        <v>1</v>
      </c>
      <c r="AS152" s="120">
        <f t="shared" si="117"/>
        <v>1</v>
      </c>
      <c r="AT152" s="120">
        <f t="shared" si="117"/>
        <v>1</v>
      </c>
      <c r="AU152" s="120">
        <f t="shared" si="117"/>
        <v>1</v>
      </c>
      <c r="AV152" s="120">
        <f t="shared" si="117"/>
        <v>0</v>
      </c>
      <c r="AW152" s="120">
        <f t="shared" si="117"/>
        <v>0</v>
      </c>
      <c r="AX152" s="120">
        <f t="shared" si="117"/>
        <v>1</v>
      </c>
      <c r="AY152" s="120">
        <f t="shared" si="115"/>
        <v>12</v>
      </c>
      <c r="AZ152" s="20" t="s">
        <v>134</v>
      </c>
    </row>
    <row r="153" spans="1:52">
      <c r="A153" s="120" t="s">
        <v>159</v>
      </c>
      <c r="B153" s="120">
        <f t="shared" si="119"/>
        <v>0</v>
      </c>
      <c r="C153" s="120">
        <f t="shared" si="119"/>
        <v>1</v>
      </c>
      <c r="D153" s="120">
        <f t="shared" si="119"/>
        <v>0</v>
      </c>
      <c r="E153" s="120">
        <f t="shared" si="119"/>
        <v>1</v>
      </c>
      <c r="F153" s="120">
        <f t="shared" si="119"/>
        <v>0</v>
      </c>
      <c r="G153" s="120">
        <f t="shared" si="119"/>
        <v>0</v>
      </c>
      <c r="H153" s="120">
        <f t="shared" si="119"/>
        <v>0</v>
      </c>
      <c r="I153" s="120">
        <f t="shared" si="119"/>
        <v>1</v>
      </c>
      <c r="J153" s="120">
        <f t="shared" si="119"/>
        <v>1</v>
      </c>
      <c r="K153" s="120">
        <f t="shared" si="119"/>
        <v>1</v>
      </c>
      <c r="L153" s="120">
        <f t="shared" si="119"/>
        <v>0</v>
      </c>
      <c r="M153" s="120">
        <f t="shared" si="119"/>
        <v>1</v>
      </c>
      <c r="N153" s="120">
        <f t="shared" si="119"/>
        <v>0</v>
      </c>
      <c r="O153" s="120">
        <f t="shared" si="119"/>
        <v>0</v>
      </c>
      <c r="P153" s="120">
        <f t="shared" si="119"/>
        <v>0</v>
      </c>
      <c r="Q153" s="120">
        <f t="shared" si="119"/>
        <v>1</v>
      </c>
      <c r="R153" s="120">
        <f t="shared" si="119"/>
        <v>1</v>
      </c>
      <c r="S153" s="120">
        <f t="shared" si="119"/>
        <v>0</v>
      </c>
      <c r="T153" s="120">
        <f t="shared" si="119"/>
        <v>1</v>
      </c>
      <c r="U153" s="120">
        <f t="shared" si="119"/>
        <v>1</v>
      </c>
      <c r="V153" s="120">
        <f t="shared" si="119"/>
        <v>0</v>
      </c>
      <c r="W153" s="120">
        <f t="shared" si="119"/>
        <v>1</v>
      </c>
      <c r="X153" s="120">
        <f t="shared" si="119"/>
        <v>0</v>
      </c>
      <c r="Y153" s="120">
        <f t="shared" si="113"/>
        <v>0</v>
      </c>
      <c r="AA153" s="120">
        <f t="shared" si="118"/>
        <v>0</v>
      </c>
      <c r="AB153" s="120">
        <f t="shared" si="118"/>
        <v>1</v>
      </c>
      <c r="AC153" s="120">
        <f t="shared" si="118"/>
        <v>0</v>
      </c>
      <c r="AD153" s="120">
        <f t="shared" si="118"/>
        <v>1</v>
      </c>
      <c r="AE153" s="120">
        <f t="shared" si="118"/>
        <v>0</v>
      </c>
      <c r="AF153" s="120">
        <f t="shared" si="118"/>
        <v>0</v>
      </c>
      <c r="AG153" s="120">
        <f t="shared" si="118"/>
        <v>0</v>
      </c>
      <c r="AH153" s="120">
        <f t="shared" si="118"/>
        <v>1</v>
      </c>
      <c r="AI153" s="120">
        <f t="shared" si="118"/>
        <v>0.5</v>
      </c>
      <c r="AJ153" s="120">
        <f t="shared" si="118"/>
        <v>1</v>
      </c>
      <c r="AK153" s="120">
        <f t="shared" si="118"/>
        <v>0</v>
      </c>
      <c r="AL153" s="120">
        <f t="shared" si="118"/>
        <v>1</v>
      </c>
      <c r="AM153" s="120">
        <f t="shared" si="118"/>
        <v>0</v>
      </c>
      <c r="AN153" s="120">
        <f t="shared" si="118"/>
        <v>0</v>
      </c>
      <c r="AO153" s="120">
        <f t="shared" si="118"/>
        <v>0</v>
      </c>
      <c r="AP153" s="120">
        <f t="shared" si="117"/>
        <v>0.5</v>
      </c>
      <c r="AQ153" s="120">
        <f t="shared" si="117"/>
        <v>1</v>
      </c>
      <c r="AR153" s="120">
        <f t="shared" si="117"/>
        <v>0</v>
      </c>
      <c r="AS153" s="120">
        <f t="shared" si="117"/>
        <v>1</v>
      </c>
      <c r="AT153" s="120">
        <f t="shared" si="117"/>
        <v>1</v>
      </c>
      <c r="AU153" s="120">
        <f t="shared" si="117"/>
        <v>0</v>
      </c>
      <c r="AV153" s="120">
        <f t="shared" si="117"/>
        <v>1</v>
      </c>
      <c r="AW153" s="120">
        <f t="shared" si="117"/>
        <v>0</v>
      </c>
      <c r="AX153" s="120">
        <f t="shared" si="117"/>
        <v>0</v>
      </c>
      <c r="AY153" s="120">
        <f t="shared" si="115"/>
        <v>10</v>
      </c>
      <c r="AZ153" s="20" t="s">
        <v>134</v>
      </c>
    </row>
    <row r="154" spans="1:52">
      <c r="A154" s="120" t="s">
        <v>160</v>
      </c>
      <c r="B154" s="120">
        <f t="shared" si="119"/>
        <v>1</v>
      </c>
      <c r="C154" s="120">
        <f t="shared" si="119"/>
        <v>1</v>
      </c>
      <c r="D154" s="120">
        <f t="shared" si="119"/>
        <v>1</v>
      </c>
      <c r="E154" s="120">
        <f t="shared" si="119"/>
        <v>0</v>
      </c>
      <c r="F154" s="120">
        <f t="shared" si="119"/>
        <v>1</v>
      </c>
      <c r="G154" s="120">
        <f t="shared" si="119"/>
        <v>1</v>
      </c>
      <c r="H154" s="120">
        <f t="shared" si="119"/>
        <v>1</v>
      </c>
      <c r="I154" s="120">
        <f t="shared" si="119"/>
        <v>1</v>
      </c>
      <c r="J154" s="120">
        <f t="shared" si="119"/>
        <v>0</v>
      </c>
      <c r="K154" s="120">
        <f t="shared" si="119"/>
        <v>0</v>
      </c>
      <c r="L154" s="120">
        <f t="shared" si="119"/>
        <v>0</v>
      </c>
      <c r="M154" s="120">
        <f t="shared" si="119"/>
        <v>1</v>
      </c>
      <c r="N154" s="120">
        <f t="shared" si="119"/>
        <v>0</v>
      </c>
      <c r="O154" s="120">
        <f t="shared" si="119"/>
        <v>1</v>
      </c>
      <c r="P154" s="120">
        <f t="shared" si="119"/>
        <v>1</v>
      </c>
      <c r="Q154" s="120">
        <f t="shared" si="119"/>
        <v>0</v>
      </c>
      <c r="R154" s="120">
        <f t="shared" si="119"/>
        <v>1</v>
      </c>
      <c r="S154" s="120">
        <f t="shared" si="119"/>
        <v>0</v>
      </c>
      <c r="T154" s="120">
        <f t="shared" si="119"/>
        <v>0</v>
      </c>
      <c r="U154" s="120">
        <f t="shared" si="119"/>
        <v>0</v>
      </c>
      <c r="V154" s="120">
        <f t="shared" si="119"/>
        <v>1</v>
      </c>
      <c r="W154" s="120">
        <f t="shared" si="119"/>
        <v>0</v>
      </c>
      <c r="X154" s="120">
        <f t="shared" si="119"/>
        <v>1</v>
      </c>
      <c r="Y154" s="120">
        <f t="shared" si="113"/>
        <v>1</v>
      </c>
      <c r="AA154" s="120">
        <f t="shared" si="118"/>
        <v>1</v>
      </c>
      <c r="AB154" s="120">
        <f t="shared" si="118"/>
        <v>1</v>
      </c>
      <c r="AC154" s="120">
        <f t="shared" si="118"/>
        <v>1</v>
      </c>
      <c r="AD154" s="120">
        <f t="shared" si="118"/>
        <v>0</v>
      </c>
      <c r="AE154" s="120">
        <f t="shared" si="118"/>
        <v>1</v>
      </c>
      <c r="AF154" s="120">
        <f t="shared" si="118"/>
        <v>1</v>
      </c>
      <c r="AG154" s="120">
        <f t="shared" si="118"/>
        <v>1</v>
      </c>
      <c r="AH154" s="120">
        <f t="shared" si="118"/>
        <v>1</v>
      </c>
      <c r="AI154" s="120">
        <f t="shared" si="118"/>
        <v>0</v>
      </c>
      <c r="AJ154" s="120">
        <f t="shared" si="118"/>
        <v>0</v>
      </c>
      <c r="AK154" s="120">
        <f t="shared" si="118"/>
        <v>0</v>
      </c>
      <c r="AL154" s="120">
        <f t="shared" si="118"/>
        <v>1</v>
      </c>
      <c r="AM154" s="120">
        <f t="shared" si="118"/>
        <v>0</v>
      </c>
      <c r="AN154" s="120">
        <f t="shared" si="118"/>
        <v>1</v>
      </c>
      <c r="AO154" s="120">
        <f t="shared" si="118"/>
        <v>1</v>
      </c>
      <c r="AP154" s="120">
        <f t="shared" si="117"/>
        <v>0</v>
      </c>
      <c r="AQ154" s="120">
        <f t="shared" si="117"/>
        <v>1</v>
      </c>
      <c r="AR154" s="120">
        <f t="shared" si="117"/>
        <v>0</v>
      </c>
      <c r="AS154" s="120">
        <f t="shared" si="117"/>
        <v>0</v>
      </c>
      <c r="AT154" s="120">
        <f t="shared" si="117"/>
        <v>0</v>
      </c>
      <c r="AU154" s="120">
        <f t="shared" si="117"/>
        <v>1</v>
      </c>
      <c r="AV154" s="120">
        <f t="shared" si="117"/>
        <v>0</v>
      </c>
      <c r="AW154" s="120">
        <f t="shared" si="117"/>
        <v>1</v>
      </c>
      <c r="AX154" s="120">
        <f t="shared" si="117"/>
        <v>1</v>
      </c>
      <c r="AY154" s="120">
        <f t="shared" si="115"/>
        <v>14</v>
      </c>
      <c r="AZ154" s="20" t="s">
        <v>134</v>
      </c>
    </row>
    <row r="155" spans="1:52">
      <c r="A155" s="120" t="s">
        <v>161</v>
      </c>
      <c r="B155" s="120">
        <f t="shared" si="119"/>
        <v>1</v>
      </c>
      <c r="C155" s="120">
        <f t="shared" si="119"/>
        <v>1</v>
      </c>
      <c r="D155" s="120">
        <f t="shared" si="119"/>
        <v>1</v>
      </c>
      <c r="E155" s="120">
        <f t="shared" si="119"/>
        <v>1</v>
      </c>
      <c r="F155" s="120">
        <f t="shared" si="119"/>
        <v>1</v>
      </c>
      <c r="G155" s="120">
        <f t="shared" si="119"/>
        <v>1</v>
      </c>
      <c r="H155" s="120">
        <f t="shared" si="119"/>
        <v>1</v>
      </c>
      <c r="I155" s="120">
        <f t="shared" si="119"/>
        <v>1</v>
      </c>
      <c r="J155" s="120">
        <f t="shared" si="119"/>
        <v>1</v>
      </c>
      <c r="K155" s="120">
        <f t="shared" si="119"/>
        <v>1</v>
      </c>
      <c r="L155" s="120">
        <f t="shared" si="119"/>
        <v>1</v>
      </c>
      <c r="M155" s="120">
        <f t="shared" si="119"/>
        <v>0</v>
      </c>
      <c r="N155" s="120">
        <f t="shared" si="119"/>
        <v>0</v>
      </c>
      <c r="O155" s="120">
        <f t="shared" si="119"/>
        <v>0</v>
      </c>
      <c r="P155" s="120">
        <f t="shared" si="119"/>
        <v>0</v>
      </c>
      <c r="Q155" s="120">
        <f t="shared" si="119"/>
        <v>0</v>
      </c>
      <c r="R155" s="120">
        <f t="shared" si="119"/>
        <v>0</v>
      </c>
      <c r="S155" s="120">
        <f t="shared" si="119"/>
        <v>0</v>
      </c>
      <c r="T155" s="120">
        <f t="shared" si="119"/>
        <v>1</v>
      </c>
      <c r="U155" s="120">
        <f t="shared" si="119"/>
        <v>1</v>
      </c>
      <c r="V155" s="120">
        <f t="shared" si="119"/>
        <v>1</v>
      </c>
      <c r="W155" s="120">
        <f t="shared" si="119"/>
        <v>1</v>
      </c>
      <c r="X155" s="120">
        <f t="shared" si="119"/>
        <v>1</v>
      </c>
      <c r="Y155" s="120">
        <f t="shared" si="113"/>
        <v>1</v>
      </c>
      <c r="AA155" s="120">
        <f t="shared" si="118"/>
        <v>1</v>
      </c>
      <c r="AB155" s="120">
        <f t="shared" si="118"/>
        <v>1</v>
      </c>
      <c r="AC155" s="120">
        <f t="shared" si="118"/>
        <v>1</v>
      </c>
      <c r="AD155" s="120">
        <f t="shared" si="118"/>
        <v>1</v>
      </c>
      <c r="AE155" s="120">
        <f t="shared" si="118"/>
        <v>1</v>
      </c>
      <c r="AF155" s="120">
        <f t="shared" si="118"/>
        <v>1</v>
      </c>
      <c r="AG155" s="120">
        <f t="shared" si="118"/>
        <v>1</v>
      </c>
      <c r="AH155" s="120">
        <f t="shared" si="118"/>
        <v>1</v>
      </c>
      <c r="AI155" s="120">
        <f t="shared" si="118"/>
        <v>1</v>
      </c>
      <c r="AJ155" s="120">
        <f t="shared" si="118"/>
        <v>1</v>
      </c>
      <c r="AK155" s="120">
        <f t="shared" si="118"/>
        <v>1</v>
      </c>
      <c r="AL155" s="120">
        <f t="shared" si="118"/>
        <v>0</v>
      </c>
      <c r="AM155" s="120">
        <f t="shared" si="118"/>
        <v>0</v>
      </c>
      <c r="AN155" s="120">
        <f t="shared" si="118"/>
        <v>0</v>
      </c>
      <c r="AO155" s="120">
        <f t="shared" si="118"/>
        <v>0</v>
      </c>
      <c r="AP155" s="120">
        <f t="shared" si="117"/>
        <v>0</v>
      </c>
      <c r="AQ155" s="120">
        <f t="shared" si="117"/>
        <v>0</v>
      </c>
      <c r="AR155" s="120">
        <f t="shared" si="117"/>
        <v>0</v>
      </c>
      <c r="AS155" s="120">
        <f t="shared" si="117"/>
        <v>1</v>
      </c>
      <c r="AT155" s="120">
        <f t="shared" si="117"/>
        <v>1</v>
      </c>
      <c r="AU155" s="120">
        <f t="shared" si="117"/>
        <v>1</v>
      </c>
      <c r="AV155" s="120">
        <f t="shared" si="117"/>
        <v>1</v>
      </c>
      <c r="AW155" s="120">
        <f t="shared" si="117"/>
        <v>1</v>
      </c>
      <c r="AX155" s="120">
        <f t="shared" si="117"/>
        <v>1</v>
      </c>
      <c r="AY155" s="120">
        <f t="shared" si="115"/>
        <v>17</v>
      </c>
      <c r="AZ155" s="20" t="s">
        <v>134</v>
      </c>
    </row>
    <row r="156" spans="1:52">
      <c r="A156" s="120" t="s">
        <v>162</v>
      </c>
      <c r="B156" s="120">
        <f t="shared" si="119"/>
        <v>1</v>
      </c>
      <c r="C156" s="120">
        <f t="shared" si="119"/>
        <v>0</v>
      </c>
      <c r="D156" s="120">
        <f t="shared" si="119"/>
        <v>0</v>
      </c>
      <c r="E156" s="120">
        <f t="shared" si="119"/>
        <v>0</v>
      </c>
      <c r="F156" s="120">
        <f t="shared" si="119"/>
        <v>0</v>
      </c>
      <c r="G156" s="120">
        <f t="shared" si="119"/>
        <v>0</v>
      </c>
      <c r="H156" s="120">
        <f t="shared" si="119"/>
        <v>0</v>
      </c>
      <c r="I156" s="120">
        <f t="shared" si="119"/>
        <v>1</v>
      </c>
      <c r="J156" s="120">
        <f t="shared" si="119"/>
        <v>0</v>
      </c>
      <c r="K156" s="120">
        <f t="shared" si="119"/>
        <v>0</v>
      </c>
      <c r="L156" s="120">
        <f t="shared" si="119"/>
        <v>0</v>
      </c>
      <c r="M156" s="120">
        <f t="shared" si="119"/>
        <v>0</v>
      </c>
      <c r="N156" s="120">
        <f t="shared" si="119"/>
        <v>0</v>
      </c>
      <c r="O156" s="120">
        <f t="shared" si="119"/>
        <v>0</v>
      </c>
      <c r="P156" s="120">
        <f t="shared" si="119"/>
        <v>0</v>
      </c>
      <c r="Q156" s="120">
        <f t="shared" si="119"/>
        <v>0</v>
      </c>
      <c r="R156" s="120">
        <f t="shared" si="119"/>
        <v>0</v>
      </c>
      <c r="S156" s="120">
        <f t="shared" si="119"/>
        <v>0</v>
      </c>
      <c r="T156" s="120">
        <f t="shared" si="119"/>
        <v>0</v>
      </c>
      <c r="U156" s="120">
        <f t="shared" si="119"/>
        <v>1</v>
      </c>
      <c r="V156" s="120">
        <f t="shared" si="119"/>
        <v>1</v>
      </c>
      <c r="W156" s="120">
        <f t="shared" si="119"/>
        <v>1</v>
      </c>
      <c r="X156" s="120">
        <f t="shared" si="119"/>
        <v>0</v>
      </c>
      <c r="Y156" s="120">
        <f t="shared" si="113"/>
        <v>1</v>
      </c>
      <c r="AA156" s="120">
        <f t="shared" si="118"/>
        <v>1</v>
      </c>
      <c r="AB156" s="120">
        <f t="shared" si="118"/>
        <v>0</v>
      </c>
      <c r="AC156" s="120">
        <f t="shared" si="118"/>
        <v>0</v>
      </c>
      <c r="AD156" s="120">
        <f t="shared" si="118"/>
        <v>0</v>
      </c>
      <c r="AE156" s="120">
        <f t="shared" si="118"/>
        <v>0</v>
      </c>
      <c r="AF156" s="120">
        <f t="shared" si="118"/>
        <v>0</v>
      </c>
      <c r="AG156" s="120">
        <f t="shared" si="118"/>
        <v>0</v>
      </c>
      <c r="AH156" s="120">
        <f t="shared" si="118"/>
        <v>1</v>
      </c>
      <c r="AI156" s="120">
        <f t="shared" si="118"/>
        <v>0</v>
      </c>
      <c r="AJ156" s="120">
        <f t="shared" si="118"/>
        <v>0</v>
      </c>
      <c r="AK156" s="120">
        <f t="shared" si="118"/>
        <v>0</v>
      </c>
      <c r="AL156" s="120">
        <f t="shared" si="118"/>
        <v>0</v>
      </c>
      <c r="AM156" s="120">
        <f t="shared" si="118"/>
        <v>0</v>
      </c>
      <c r="AN156" s="120">
        <f t="shared" si="118"/>
        <v>0</v>
      </c>
      <c r="AO156" s="120">
        <f t="shared" si="118"/>
        <v>0</v>
      </c>
      <c r="AP156" s="120">
        <f t="shared" si="117"/>
        <v>0</v>
      </c>
      <c r="AQ156" s="120">
        <f t="shared" si="117"/>
        <v>0</v>
      </c>
      <c r="AR156" s="120">
        <f t="shared" si="117"/>
        <v>0</v>
      </c>
      <c r="AS156" s="120">
        <f t="shared" si="117"/>
        <v>0</v>
      </c>
      <c r="AT156" s="120">
        <f t="shared" si="117"/>
        <v>1</v>
      </c>
      <c r="AU156" s="120">
        <f t="shared" si="117"/>
        <v>1</v>
      </c>
      <c r="AV156" s="120">
        <f t="shared" si="117"/>
        <v>1</v>
      </c>
      <c r="AW156" s="120">
        <f t="shared" si="117"/>
        <v>0</v>
      </c>
      <c r="AX156" s="120">
        <f t="shared" si="117"/>
        <v>1</v>
      </c>
      <c r="AY156" s="120">
        <f t="shared" si="115"/>
        <v>6</v>
      </c>
      <c r="AZ156" s="20" t="s">
        <v>134</v>
      </c>
    </row>
    <row r="157" spans="1:52">
      <c r="A157" s="120" t="s">
        <v>163</v>
      </c>
      <c r="B157" s="120">
        <f t="shared" si="119"/>
        <v>1</v>
      </c>
      <c r="C157" s="120">
        <f t="shared" si="119"/>
        <v>1</v>
      </c>
      <c r="D157" s="120">
        <f t="shared" si="119"/>
        <v>1</v>
      </c>
      <c r="E157" s="120">
        <f t="shared" si="119"/>
        <v>0</v>
      </c>
      <c r="F157" s="120">
        <f t="shared" si="119"/>
        <v>0</v>
      </c>
      <c r="G157" s="120">
        <f t="shared" si="119"/>
        <v>1</v>
      </c>
      <c r="H157" s="120">
        <f t="shared" si="119"/>
        <v>1</v>
      </c>
      <c r="I157" s="120">
        <f t="shared" si="119"/>
        <v>0</v>
      </c>
      <c r="J157" s="120">
        <f t="shared" si="119"/>
        <v>0</v>
      </c>
      <c r="K157" s="120">
        <f t="shared" si="119"/>
        <v>0</v>
      </c>
      <c r="L157" s="120">
        <f t="shared" si="119"/>
        <v>0</v>
      </c>
      <c r="M157" s="120">
        <f t="shared" si="119"/>
        <v>0</v>
      </c>
      <c r="N157" s="120">
        <f t="shared" si="119"/>
        <v>1</v>
      </c>
      <c r="O157" s="120">
        <f t="shared" si="119"/>
        <v>1</v>
      </c>
      <c r="P157" s="120">
        <f t="shared" si="119"/>
        <v>0</v>
      </c>
      <c r="Q157" s="120">
        <f t="shared" si="119"/>
        <v>1</v>
      </c>
      <c r="R157" s="120">
        <f t="shared" si="119"/>
        <v>1</v>
      </c>
      <c r="S157" s="120">
        <f t="shared" si="119"/>
        <v>1</v>
      </c>
      <c r="T157" s="120">
        <f t="shared" si="119"/>
        <v>1</v>
      </c>
      <c r="U157" s="120">
        <f t="shared" si="119"/>
        <v>0</v>
      </c>
      <c r="V157" s="120">
        <f t="shared" si="119"/>
        <v>0</v>
      </c>
      <c r="W157" s="120">
        <f t="shared" si="119"/>
        <v>0</v>
      </c>
      <c r="X157" s="120">
        <f t="shared" si="119"/>
        <v>0</v>
      </c>
      <c r="Y157" s="120">
        <f t="shared" si="113"/>
        <v>0</v>
      </c>
      <c r="AA157" s="120">
        <f t="shared" si="118"/>
        <v>1</v>
      </c>
      <c r="AB157" s="120">
        <f t="shared" si="118"/>
        <v>1</v>
      </c>
      <c r="AC157" s="120">
        <f t="shared" si="118"/>
        <v>1</v>
      </c>
      <c r="AD157" s="120">
        <f t="shared" si="118"/>
        <v>0</v>
      </c>
      <c r="AE157" s="120">
        <f t="shared" si="118"/>
        <v>0</v>
      </c>
      <c r="AF157" s="120">
        <f t="shared" si="118"/>
        <v>1</v>
      </c>
      <c r="AG157" s="120">
        <f t="shared" si="118"/>
        <v>1</v>
      </c>
      <c r="AH157" s="120">
        <f t="shared" si="118"/>
        <v>0</v>
      </c>
      <c r="AI157" s="120">
        <f t="shared" si="118"/>
        <v>0</v>
      </c>
      <c r="AJ157" s="120">
        <f t="shared" si="118"/>
        <v>0</v>
      </c>
      <c r="AK157" s="120">
        <f t="shared" si="118"/>
        <v>0</v>
      </c>
      <c r="AL157" s="120">
        <f t="shared" si="118"/>
        <v>0</v>
      </c>
      <c r="AM157" s="120">
        <f t="shared" si="118"/>
        <v>1</v>
      </c>
      <c r="AN157" s="120">
        <f t="shared" si="118"/>
        <v>1</v>
      </c>
      <c r="AO157" s="120">
        <f t="shared" si="118"/>
        <v>0</v>
      </c>
      <c r="AP157" s="120">
        <f t="shared" si="117"/>
        <v>1</v>
      </c>
      <c r="AQ157" s="120">
        <f t="shared" si="117"/>
        <v>1</v>
      </c>
      <c r="AR157" s="120">
        <f t="shared" si="117"/>
        <v>1</v>
      </c>
      <c r="AS157" s="120">
        <f t="shared" si="117"/>
        <v>1</v>
      </c>
      <c r="AT157" s="120">
        <f t="shared" si="117"/>
        <v>0</v>
      </c>
      <c r="AU157" s="120">
        <f t="shared" si="117"/>
        <v>0</v>
      </c>
      <c r="AV157" s="120">
        <f t="shared" si="117"/>
        <v>0</v>
      </c>
      <c r="AW157" s="120">
        <f t="shared" si="117"/>
        <v>0</v>
      </c>
      <c r="AX157" s="120">
        <f t="shared" si="117"/>
        <v>0</v>
      </c>
      <c r="AY157" s="120">
        <f t="shared" si="115"/>
        <v>11</v>
      </c>
      <c r="AZ157" s="20" t="s">
        <v>134</v>
      </c>
    </row>
    <row r="158" spans="1:52">
      <c r="A158" s="120" t="s">
        <v>164</v>
      </c>
      <c r="B158" s="120">
        <f t="shared" si="119"/>
        <v>1</v>
      </c>
      <c r="C158" s="120">
        <f t="shared" si="119"/>
        <v>0</v>
      </c>
      <c r="D158" s="120">
        <f t="shared" si="119"/>
        <v>1</v>
      </c>
      <c r="E158" s="120">
        <f t="shared" si="119"/>
        <v>1</v>
      </c>
      <c r="F158" s="120">
        <f t="shared" si="119"/>
        <v>1</v>
      </c>
      <c r="G158" s="120">
        <f t="shared" si="119"/>
        <v>1</v>
      </c>
      <c r="H158" s="120">
        <f t="shared" si="119"/>
        <v>0</v>
      </c>
      <c r="I158" s="120">
        <f t="shared" si="119"/>
        <v>1</v>
      </c>
      <c r="J158" s="120">
        <f t="shared" si="119"/>
        <v>0</v>
      </c>
      <c r="K158" s="120">
        <f t="shared" si="119"/>
        <v>0</v>
      </c>
      <c r="L158" s="120">
        <f t="shared" si="119"/>
        <v>1</v>
      </c>
      <c r="M158" s="120">
        <f t="shared" si="119"/>
        <v>0</v>
      </c>
      <c r="N158" s="120">
        <f t="shared" si="119"/>
        <v>1</v>
      </c>
      <c r="O158" s="120">
        <f t="shared" si="119"/>
        <v>1</v>
      </c>
      <c r="P158" s="120">
        <f t="shared" si="119"/>
        <v>1</v>
      </c>
      <c r="Q158" s="120">
        <f t="shared" si="119"/>
        <v>1</v>
      </c>
      <c r="R158" s="120">
        <f t="shared" si="119"/>
        <v>0</v>
      </c>
      <c r="S158" s="120">
        <f t="shared" si="119"/>
        <v>1</v>
      </c>
      <c r="T158" s="120">
        <f t="shared" si="119"/>
        <v>1</v>
      </c>
      <c r="U158" s="120">
        <f t="shared" si="119"/>
        <v>1</v>
      </c>
      <c r="V158" s="120">
        <f t="shared" si="119"/>
        <v>0</v>
      </c>
      <c r="W158" s="120">
        <f t="shared" si="119"/>
        <v>0</v>
      </c>
      <c r="X158" s="120">
        <f t="shared" si="119"/>
        <v>0</v>
      </c>
      <c r="Y158" s="120">
        <f t="shared" si="113"/>
        <v>1</v>
      </c>
      <c r="AA158" s="120">
        <f t="shared" si="118"/>
        <v>1</v>
      </c>
      <c r="AB158" s="120">
        <f t="shared" si="118"/>
        <v>0</v>
      </c>
      <c r="AC158" s="120">
        <f t="shared" si="118"/>
        <v>1</v>
      </c>
      <c r="AD158" s="120">
        <f t="shared" si="118"/>
        <v>1</v>
      </c>
      <c r="AE158" s="120">
        <f t="shared" si="118"/>
        <v>1</v>
      </c>
      <c r="AF158" s="120">
        <f t="shared" si="118"/>
        <v>1</v>
      </c>
      <c r="AG158" s="120">
        <f t="shared" si="118"/>
        <v>0</v>
      </c>
      <c r="AH158" s="120">
        <f t="shared" si="118"/>
        <v>1</v>
      </c>
      <c r="AI158" s="120">
        <f t="shared" si="118"/>
        <v>0</v>
      </c>
      <c r="AJ158" s="120">
        <f t="shared" si="118"/>
        <v>0</v>
      </c>
      <c r="AK158" s="120">
        <f t="shared" si="118"/>
        <v>1</v>
      </c>
      <c r="AL158" s="120">
        <f t="shared" si="118"/>
        <v>0</v>
      </c>
      <c r="AM158" s="120">
        <f t="shared" si="118"/>
        <v>1</v>
      </c>
      <c r="AN158" s="120">
        <f t="shared" si="118"/>
        <v>1</v>
      </c>
      <c r="AO158" s="120">
        <f t="shared" si="118"/>
        <v>1</v>
      </c>
      <c r="AP158" s="120">
        <f t="shared" si="117"/>
        <v>1</v>
      </c>
      <c r="AQ158" s="120">
        <f t="shared" si="117"/>
        <v>0</v>
      </c>
      <c r="AR158" s="120">
        <f t="shared" si="117"/>
        <v>1</v>
      </c>
      <c r="AS158" s="120">
        <f t="shared" si="117"/>
        <v>1</v>
      </c>
      <c r="AT158" s="120">
        <f t="shared" si="117"/>
        <v>1</v>
      </c>
      <c r="AU158" s="120">
        <f t="shared" si="117"/>
        <v>0</v>
      </c>
      <c r="AV158" s="120">
        <f t="shared" si="117"/>
        <v>0</v>
      </c>
      <c r="AW158" s="120">
        <f t="shared" si="117"/>
        <v>0</v>
      </c>
      <c r="AX158" s="120">
        <f t="shared" si="117"/>
        <v>1</v>
      </c>
      <c r="AY158" s="120">
        <f t="shared" si="115"/>
        <v>15</v>
      </c>
      <c r="AZ158" s="20" t="s">
        <v>134</v>
      </c>
    </row>
    <row r="159" spans="1:52">
      <c r="A159" s="120" t="s">
        <v>165</v>
      </c>
      <c r="B159" s="120">
        <f t="shared" si="119"/>
        <v>1</v>
      </c>
      <c r="C159" s="120">
        <f t="shared" si="119"/>
        <v>0</v>
      </c>
      <c r="D159" s="120">
        <f t="shared" si="119"/>
        <v>1</v>
      </c>
      <c r="E159" s="120">
        <f t="shared" si="119"/>
        <v>0</v>
      </c>
      <c r="F159" s="120">
        <f t="shared" si="119"/>
        <v>0</v>
      </c>
      <c r="G159" s="120">
        <f t="shared" si="119"/>
        <v>1</v>
      </c>
      <c r="H159" s="120">
        <f t="shared" si="119"/>
        <v>1</v>
      </c>
      <c r="I159" s="120">
        <f t="shared" si="119"/>
        <v>0</v>
      </c>
      <c r="J159" s="120">
        <f t="shared" si="119"/>
        <v>0</v>
      </c>
      <c r="K159" s="120">
        <f t="shared" si="119"/>
        <v>0</v>
      </c>
      <c r="L159" s="120">
        <f t="shared" si="119"/>
        <v>1</v>
      </c>
      <c r="M159" s="120">
        <f t="shared" si="119"/>
        <v>0</v>
      </c>
      <c r="N159" s="120">
        <f t="shared" si="119"/>
        <v>1</v>
      </c>
      <c r="O159" s="120">
        <f t="shared" si="119"/>
        <v>1</v>
      </c>
      <c r="P159" s="120">
        <f t="shared" si="119"/>
        <v>0</v>
      </c>
      <c r="Q159" s="120">
        <f t="shared" si="119"/>
        <v>0</v>
      </c>
      <c r="R159" s="120">
        <f t="shared" si="119"/>
        <v>1</v>
      </c>
      <c r="S159" s="120">
        <f t="shared" si="119"/>
        <v>1</v>
      </c>
      <c r="T159" s="120">
        <f t="shared" si="119"/>
        <v>1</v>
      </c>
      <c r="U159" s="120">
        <f t="shared" si="119"/>
        <v>1</v>
      </c>
      <c r="V159" s="120">
        <f t="shared" si="119"/>
        <v>1</v>
      </c>
      <c r="W159" s="120">
        <f t="shared" si="119"/>
        <v>1</v>
      </c>
      <c r="X159" s="120">
        <f t="shared" si="119"/>
        <v>1</v>
      </c>
      <c r="Y159" s="120">
        <f t="shared" si="113"/>
        <v>1</v>
      </c>
      <c r="AA159" s="120">
        <f t="shared" si="118"/>
        <v>1</v>
      </c>
      <c r="AB159" s="120">
        <f t="shared" si="118"/>
        <v>0</v>
      </c>
      <c r="AC159" s="120">
        <f t="shared" si="118"/>
        <v>1</v>
      </c>
      <c r="AD159" s="120">
        <f t="shared" si="118"/>
        <v>0</v>
      </c>
      <c r="AE159" s="120">
        <f t="shared" si="118"/>
        <v>0</v>
      </c>
      <c r="AF159" s="120">
        <f t="shared" si="118"/>
        <v>1</v>
      </c>
      <c r="AG159" s="120">
        <f t="shared" si="118"/>
        <v>1</v>
      </c>
      <c r="AH159" s="120">
        <f t="shared" si="118"/>
        <v>0</v>
      </c>
      <c r="AI159" s="120">
        <f t="shared" si="118"/>
        <v>0</v>
      </c>
      <c r="AJ159" s="120">
        <f t="shared" si="118"/>
        <v>0</v>
      </c>
      <c r="AK159" s="120">
        <f t="shared" si="118"/>
        <v>1</v>
      </c>
      <c r="AL159" s="120">
        <f t="shared" si="118"/>
        <v>0</v>
      </c>
      <c r="AM159" s="120">
        <f t="shared" si="118"/>
        <v>1</v>
      </c>
      <c r="AN159" s="120">
        <f t="shared" si="118"/>
        <v>1</v>
      </c>
      <c r="AO159" s="120">
        <f t="shared" si="118"/>
        <v>0</v>
      </c>
      <c r="AP159" s="120">
        <f t="shared" si="117"/>
        <v>0</v>
      </c>
      <c r="AQ159" s="120">
        <f t="shared" si="117"/>
        <v>1</v>
      </c>
      <c r="AR159" s="120">
        <f t="shared" si="117"/>
        <v>1</v>
      </c>
      <c r="AS159" s="120">
        <f t="shared" si="117"/>
        <v>1</v>
      </c>
      <c r="AT159" s="120">
        <f t="shared" si="117"/>
        <v>1</v>
      </c>
      <c r="AU159" s="120">
        <f t="shared" si="117"/>
        <v>1</v>
      </c>
      <c r="AV159" s="120">
        <f t="shared" si="117"/>
        <v>1</v>
      </c>
      <c r="AW159" s="120">
        <f t="shared" si="117"/>
        <v>1</v>
      </c>
      <c r="AX159" s="120">
        <f t="shared" si="117"/>
        <v>0.5</v>
      </c>
      <c r="AY159" s="120">
        <f t="shared" si="115"/>
        <v>14.5</v>
      </c>
      <c r="AZ159" s="20" t="s">
        <v>134</v>
      </c>
    </row>
    <row r="160" spans="1:52">
      <c r="A160" s="120" t="s">
        <v>166</v>
      </c>
      <c r="B160" s="120">
        <f t="shared" si="119"/>
        <v>1</v>
      </c>
      <c r="C160" s="120">
        <f t="shared" si="119"/>
        <v>1</v>
      </c>
      <c r="D160" s="120">
        <f t="shared" si="119"/>
        <v>1</v>
      </c>
      <c r="E160" s="120">
        <f t="shared" si="119"/>
        <v>0</v>
      </c>
      <c r="F160" s="120">
        <f t="shared" ref="B160:X167" si="120">IF(IFERROR(FIND($A$136,F28,1),0)=0,0,1)</f>
        <v>0</v>
      </c>
      <c r="G160" s="120">
        <f t="shared" si="120"/>
        <v>0</v>
      </c>
      <c r="H160" s="120">
        <f t="shared" si="120"/>
        <v>1</v>
      </c>
      <c r="I160" s="120">
        <f t="shared" si="120"/>
        <v>1</v>
      </c>
      <c r="J160" s="120">
        <f t="shared" si="120"/>
        <v>1</v>
      </c>
      <c r="K160" s="120">
        <f t="shared" si="120"/>
        <v>1</v>
      </c>
      <c r="L160" s="120">
        <f t="shared" si="120"/>
        <v>1</v>
      </c>
      <c r="M160" s="120">
        <f t="shared" si="120"/>
        <v>0</v>
      </c>
      <c r="N160" s="120">
        <f t="shared" si="120"/>
        <v>1</v>
      </c>
      <c r="O160" s="120">
        <f t="shared" si="120"/>
        <v>0</v>
      </c>
      <c r="P160" s="120">
        <f t="shared" si="120"/>
        <v>0</v>
      </c>
      <c r="Q160" s="120">
        <f t="shared" si="120"/>
        <v>0</v>
      </c>
      <c r="R160" s="120">
        <f t="shared" si="120"/>
        <v>0</v>
      </c>
      <c r="S160" s="120">
        <f t="shared" si="120"/>
        <v>1</v>
      </c>
      <c r="T160" s="120">
        <f t="shared" si="120"/>
        <v>1</v>
      </c>
      <c r="U160" s="120">
        <f t="shared" si="120"/>
        <v>0</v>
      </c>
      <c r="V160" s="120">
        <f t="shared" si="120"/>
        <v>1</v>
      </c>
      <c r="W160" s="120">
        <f t="shared" si="120"/>
        <v>1</v>
      </c>
      <c r="X160" s="120">
        <f t="shared" si="120"/>
        <v>1</v>
      </c>
      <c r="Y160" s="120">
        <f t="shared" si="113"/>
        <v>1</v>
      </c>
      <c r="AA160" s="120">
        <f t="shared" si="118"/>
        <v>1</v>
      </c>
      <c r="AB160" s="120">
        <f t="shared" si="118"/>
        <v>1</v>
      </c>
      <c r="AC160" s="120">
        <f t="shared" si="118"/>
        <v>1</v>
      </c>
      <c r="AD160" s="120">
        <f t="shared" si="118"/>
        <v>0</v>
      </c>
      <c r="AE160" s="120">
        <f t="shared" si="118"/>
        <v>0</v>
      </c>
      <c r="AF160" s="120">
        <f t="shared" si="118"/>
        <v>0</v>
      </c>
      <c r="AG160" s="120">
        <f t="shared" si="118"/>
        <v>1</v>
      </c>
      <c r="AH160" s="120">
        <f t="shared" si="118"/>
        <v>1</v>
      </c>
      <c r="AI160" s="120">
        <f t="shared" si="118"/>
        <v>1</v>
      </c>
      <c r="AJ160" s="120">
        <f t="shared" si="118"/>
        <v>1</v>
      </c>
      <c r="AK160" s="120">
        <f t="shared" si="118"/>
        <v>1</v>
      </c>
      <c r="AL160" s="120">
        <f t="shared" si="118"/>
        <v>0</v>
      </c>
      <c r="AM160" s="120">
        <f t="shared" si="118"/>
        <v>1</v>
      </c>
      <c r="AN160" s="120">
        <f t="shared" si="118"/>
        <v>0</v>
      </c>
      <c r="AO160" s="120">
        <f t="shared" si="118"/>
        <v>0</v>
      </c>
      <c r="AP160" s="120">
        <f t="shared" si="117"/>
        <v>0</v>
      </c>
      <c r="AQ160" s="120">
        <f t="shared" si="117"/>
        <v>0</v>
      </c>
      <c r="AR160" s="120">
        <f t="shared" si="117"/>
        <v>1</v>
      </c>
      <c r="AS160" s="120">
        <f t="shared" si="117"/>
        <v>1</v>
      </c>
      <c r="AT160" s="120">
        <f t="shared" si="117"/>
        <v>0</v>
      </c>
      <c r="AU160" s="120">
        <f t="shared" si="117"/>
        <v>1</v>
      </c>
      <c r="AV160" s="120">
        <f t="shared" si="117"/>
        <v>1</v>
      </c>
      <c r="AW160" s="120">
        <f t="shared" si="117"/>
        <v>1</v>
      </c>
      <c r="AX160" s="120">
        <f t="shared" si="117"/>
        <v>1</v>
      </c>
      <c r="AY160" s="120">
        <f t="shared" si="115"/>
        <v>15</v>
      </c>
      <c r="AZ160" s="20" t="s">
        <v>134</v>
      </c>
    </row>
    <row r="161" spans="1:52">
      <c r="A161" s="120" t="s">
        <v>167</v>
      </c>
      <c r="B161" s="120">
        <f t="shared" si="120"/>
        <v>0</v>
      </c>
      <c r="C161" s="120">
        <f t="shared" si="120"/>
        <v>1</v>
      </c>
      <c r="D161" s="120">
        <f t="shared" si="120"/>
        <v>0</v>
      </c>
      <c r="E161" s="120">
        <f t="shared" si="120"/>
        <v>0</v>
      </c>
      <c r="F161" s="120">
        <f t="shared" si="120"/>
        <v>0</v>
      </c>
      <c r="G161" s="120">
        <f t="shared" si="120"/>
        <v>0</v>
      </c>
      <c r="H161" s="120">
        <f t="shared" si="120"/>
        <v>0</v>
      </c>
      <c r="I161" s="120">
        <f t="shared" si="120"/>
        <v>1</v>
      </c>
      <c r="J161" s="120">
        <f t="shared" si="120"/>
        <v>1</v>
      </c>
      <c r="K161" s="120">
        <f t="shared" si="120"/>
        <v>1</v>
      </c>
      <c r="L161" s="120">
        <f t="shared" si="120"/>
        <v>0</v>
      </c>
      <c r="M161" s="120">
        <f t="shared" si="120"/>
        <v>0</v>
      </c>
      <c r="N161" s="120">
        <f t="shared" si="120"/>
        <v>1</v>
      </c>
      <c r="O161" s="120">
        <f t="shared" si="120"/>
        <v>0</v>
      </c>
      <c r="P161" s="120">
        <f t="shared" si="120"/>
        <v>0</v>
      </c>
      <c r="Q161" s="120">
        <f t="shared" si="120"/>
        <v>0</v>
      </c>
      <c r="R161" s="120">
        <f t="shared" si="120"/>
        <v>0</v>
      </c>
      <c r="S161" s="120">
        <f t="shared" si="120"/>
        <v>1</v>
      </c>
      <c r="T161" s="120">
        <f t="shared" si="120"/>
        <v>1</v>
      </c>
      <c r="U161" s="120">
        <f t="shared" si="120"/>
        <v>1</v>
      </c>
      <c r="V161" s="120">
        <f t="shared" si="120"/>
        <v>0</v>
      </c>
      <c r="W161" s="120">
        <f t="shared" si="120"/>
        <v>1</v>
      </c>
      <c r="X161" s="120">
        <f t="shared" si="120"/>
        <v>0</v>
      </c>
      <c r="Y161" s="120">
        <f t="shared" si="113"/>
        <v>1</v>
      </c>
      <c r="AA161" s="120">
        <f t="shared" si="118"/>
        <v>0</v>
      </c>
      <c r="AB161" s="120">
        <f t="shared" si="118"/>
        <v>1</v>
      </c>
      <c r="AC161" s="120">
        <f t="shared" si="118"/>
        <v>0</v>
      </c>
      <c r="AD161" s="120">
        <f t="shared" si="118"/>
        <v>0</v>
      </c>
      <c r="AE161" s="120">
        <f t="shared" si="118"/>
        <v>0</v>
      </c>
      <c r="AF161" s="120">
        <f t="shared" si="118"/>
        <v>0</v>
      </c>
      <c r="AG161" s="120">
        <f t="shared" si="118"/>
        <v>0</v>
      </c>
      <c r="AH161" s="120">
        <f t="shared" si="118"/>
        <v>1</v>
      </c>
      <c r="AI161" s="120">
        <f t="shared" si="118"/>
        <v>1</v>
      </c>
      <c r="AJ161" s="120">
        <f t="shared" si="118"/>
        <v>1</v>
      </c>
      <c r="AK161" s="120">
        <f t="shared" si="118"/>
        <v>0</v>
      </c>
      <c r="AL161" s="120">
        <f t="shared" si="118"/>
        <v>0</v>
      </c>
      <c r="AM161" s="120">
        <f t="shared" si="118"/>
        <v>1</v>
      </c>
      <c r="AN161" s="120">
        <f t="shared" si="118"/>
        <v>0</v>
      </c>
      <c r="AO161" s="120">
        <f t="shared" si="118"/>
        <v>0</v>
      </c>
      <c r="AP161" s="120">
        <f t="shared" si="117"/>
        <v>0</v>
      </c>
      <c r="AQ161" s="120">
        <f t="shared" si="117"/>
        <v>0</v>
      </c>
      <c r="AR161" s="120">
        <f t="shared" si="117"/>
        <v>1</v>
      </c>
      <c r="AS161" s="120">
        <f t="shared" si="117"/>
        <v>1</v>
      </c>
      <c r="AT161" s="120">
        <f t="shared" si="117"/>
        <v>1</v>
      </c>
      <c r="AU161" s="120">
        <f t="shared" si="117"/>
        <v>0</v>
      </c>
      <c r="AV161" s="120">
        <f t="shared" si="117"/>
        <v>1</v>
      </c>
      <c r="AW161" s="120">
        <f t="shared" si="117"/>
        <v>0</v>
      </c>
      <c r="AX161" s="120">
        <f t="shared" si="117"/>
        <v>1</v>
      </c>
      <c r="AY161" s="120">
        <f t="shared" si="115"/>
        <v>10</v>
      </c>
      <c r="AZ161" s="20" t="s">
        <v>134</v>
      </c>
    </row>
    <row r="162" spans="1:52">
      <c r="A162" s="120" t="s">
        <v>168</v>
      </c>
      <c r="B162" s="120">
        <f t="shared" si="120"/>
        <v>1</v>
      </c>
      <c r="C162" s="120">
        <f t="shared" si="120"/>
        <v>0</v>
      </c>
      <c r="D162" s="120">
        <f t="shared" si="120"/>
        <v>1</v>
      </c>
      <c r="E162" s="120">
        <f t="shared" si="120"/>
        <v>0</v>
      </c>
      <c r="F162" s="120">
        <f t="shared" si="120"/>
        <v>0</v>
      </c>
      <c r="G162" s="120">
        <f t="shared" si="120"/>
        <v>1</v>
      </c>
      <c r="H162" s="120">
        <f t="shared" si="120"/>
        <v>0</v>
      </c>
      <c r="I162" s="120">
        <f t="shared" si="120"/>
        <v>0</v>
      </c>
      <c r="J162" s="120">
        <f t="shared" si="120"/>
        <v>1</v>
      </c>
      <c r="K162" s="120">
        <f t="shared" si="120"/>
        <v>1</v>
      </c>
      <c r="L162" s="120">
        <f t="shared" si="120"/>
        <v>1</v>
      </c>
      <c r="M162" s="120">
        <f t="shared" si="120"/>
        <v>0</v>
      </c>
      <c r="N162" s="120">
        <f t="shared" si="120"/>
        <v>1</v>
      </c>
      <c r="O162" s="120">
        <f t="shared" si="120"/>
        <v>0</v>
      </c>
      <c r="P162" s="120">
        <f t="shared" si="120"/>
        <v>0</v>
      </c>
      <c r="Q162" s="120">
        <f t="shared" si="120"/>
        <v>0</v>
      </c>
      <c r="R162" s="120">
        <f t="shared" si="120"/>
        <v>0</v>
      </c>
      <c r="S162" s="120">
        <f t="shared" si="120"/>
        <v>1</v>
      </c>
      <c r="T162" s="120">
        <f t="shared" si="120"/>
        <v>1</v>
      </c>
      <c r="U162" s="120">
        <f t="shared" si="120"/>
        <v>1</v>
      </c>
      <c r="V162" s="120">
        <f t="shared" si="120"/>
        <v>1</v>
      </c>
      <c r="W162" s="120">
        <f t="shared" si="120"/>
        <v>0</v>
      </c>
      <c r="X162" s="120">
        <f t="shared" si="120"/>
        <v>1</v>
      </c>
      <c r="Y162" s="120">
        <f t="shared" si="113"/>
        <v>0</v>
      </c>
      <c r="AA162" s="120">
        <f t="shared" si="118"/>
        <v>1</v>
      </c>
      <c r="AB162" s="120">
        <f t="shared" si="118"/>
        <v>0</v>
      </c>
      <c r="AC162" s="120">
        <f t="shared" si="118"/>
        <v>1</v>
      </c>
      <c r="AD162" s="120">
        <f t="shared" si="118"/>
        <v>0</v>
      </c>
      <c r="AE162" s="120">
        <f t="shared" si="118"/>
        <v>0</v>
      </c>
      <c r="AF162" s="120">
        <f t="shared" si="118"/>
        <v>1</v>
      </c>
      <c r="AG162" s="120">
        <f t="shared" si="118"/>
        <v>0</v>
      </c>
      <c r="AH162" s="120">
        <f t="shared" si="118"/>
        <v>0</v>
      </c>
      <c r="AI162" s="120">
        <f t="shared" si="118"/>
        <v>1</v>
      </c>
      <c r="AJ162" s="120">
        <f t="shared" si="118"/>
        <v>1</v>
      </c>
      <c r="AK162" s="120">
        <f t="shared" si="118"/>
        <v>1</v>
      </c>
      <c r="AL162" s="120">
        <f t="shared" si="118"/>
        <v>0</v>
      </c>
      <c r="AM162" s="120">
        <f t="shared" si="118"/>
        <v>1</v>
      </c>
      <c r="AN162" s="120">
        <f t="shared" si="118"/>
        <v>0</v>
      </c>
      <c r="AO162" s="120">
        <f t="shared" si="118"/>
        <v>0</v>
      </c>
      <c r="AP162" s="120">
        <f t="shared" si="117"/>
        <v>0</v>
      </c>
      <c r="AQ162" s="120">
        <f t="shared" si="117"/>
        <v>0</v>
      </c>
      <c r="AR162" s="120">
        <f t="shared" si="117"/>
        <v>1</v>
      </c>
      <c r="AS162" s="120">
        <f t="shared" si="117"/>
        <v>1</v>
      </c>
      <c r="AT162" s="120">
        <f t="shared" si="117"/>
        <v>1</v>
      </c>
      <c r="AU162" s="120">
        <f t="shared" si="117"/>
        <v>1</v>
      </c>
      <c r="AV162" s="120">
        <f t="shared" si="117"/>
        <v>0</v>
      </c>
      <c r="AW162" s="120">
        <f t="shared" si="117"/>
        <v>1</v>
      </c>
      <c r="AX162" s="120">
        <f t="shared" si="117"/>
        <v>0</v>
      </c>
      <c r="AY162" s="120">
        <f t="shared" si="115"/>
        <v>12</v>
      </c>
      <c r="AZ162" s="20" t="s">
        <v>134</v>
      </c>
    </row>
    <row r="163" spans="1:52">
      <c r="A163" s="120" t="s">
        <v>169</v>
      </c>
      <c r="B163" s="120">
        <f t="shared" si="120"/>
        <v>0</v>
      </c>
      <c r="C163" s="120">
        <f t="shared" si="120"/>
        <v>0</v>
      </c>
      <c r="D163" s="120">
        <f t="shared" si="120"/>
        <v>0</v>
      </c>
      <c r="E163" s="120">
        <f t="shared" si="120"/>
        <v>0</v>
      </c>
      <c r="F163" s="120">
        <f t="shared" si="120"/>
        <v>0</v>
      </c>
      <c r="G163" s="120">
        <f t="shared" si="120"/>
        <v>0</v>
      </c>
      <c r="H163" s="120">
        <f t="shared" si="120"/>
        <v>0</v>
      </c>
      <c r="I163" s="120">
        <f t="shared" si="120"/>
        <v>0</v>
      </c>
      <c r="J163" s="120">
        <f t="shared" si="120"/>
        <v>1</v>
      </c>
      <c r="K163" s="120">
        <f t="shared" si="120"/>
        <v>0</v>
      </c>
      <c r="L163" s="120">
        <f t="shared" si="120"/>
        <v>1</v>
      </c>
      <c r="M163" s="120">
        <f t="shared" si="120"/>
        <v>1</v>
      </c>
      <c r="N163" s="120">
        <f t="shared" si="120"/>
        <v>0</v>
      </c>
      <c r="O163" s="120">
        <f t="shared" si="120"/>
        <v>0</v>
      </c>
      <c r="P163" s="120">
        <f t="shared" si="120"/>
        <v>0</v>
      </c>
      <c r="Q163" s="120">
        <f t="shared" si="120"/>
        <v>0</v>
      </c>
      <c r="R163" s="120">
        <f t="shared" si="120"/>
        <v>0</v>
      </c>
      <c r="S163" s="120">
        <f t="shared" si="120"/>
        <v>1</v>
      </c>
      <c r="T163" s="120">
        <f t="shared" si="120"/>
        <v>0</v>
      </c>
      <c r="U163" s="120">
        <f t="shared" si="120"/>
        <v>1</v>
      </c>
      <c r="V163" s="120">
        <f t="shared" si="120"/>
        <v>0</v>
      </c>
      <c r="W163" s="120">
        <f t="shared" si="120"/>
        <v>1</v>
      </c>
      <c r="X163" s="120">
        <f t="shared" si="120"/>
        <v>1</v>
      </c>
      <c r="Y163" s="120">
        <f t="shared" si="113"/>
        <v>1</v>
      </c>
      <c r="AA163" s="120">
        <f t="shared" si="118"/>
        <v>0</v>
      </c>
      <c r="AB163" s="120">
        <f t="shared" si="118"/>
        <v>0</v>
      </c>
      <c r="AC163" s="120">
        <f t="shared" si="118"/>
        <v>0</v>
      </c>
      <c r="AD163" s="120">
        <f t="shared" si="118"/>
        <v>0</v>
      </c>
      <c r="AE163" s="120">
        <f t="shared" si="118"/>
        <v>0</v>
      </c>
      <c r="AF163" s="120">
        <f t="shared" si="118"/>
        <v>0</v>
      </c>
      <c r="AG163" s="120">
        <f t="shared" si="118"/>
        <v>0</v>
      </c>
      <c r="AH163" s="120">
        <f t="shared" si="118"/>
        <v>0</v>
      </c>
      <c r="AI163" s="120">
        <f t="shared" si="118"/>
        <v>1</v>
      </c>
      <c r="AJ163" s="120">
        <f t="shared" si="118"/>
        <v>0</v>
      </c>
      <c r="AK163" s="120">
        <f t="shared" si="118"/>
        <v>1</v>
      </c>
      <c r="AL163" s="120">
        <f t="shared" si="118"/>
        <v>1</v>
      </c>
      <c r="AM163" s="120">
        <f t="shared" si="118"/>
        <v>0</v>
      </c>
      <c r="AN163" s="120">
        <f t="shared" si="118"/>
        <v>0</v>
      </c>
      <c r="AO163" s="120">
        <f t="shared" si="118"/>
        <v>0</v>
      </c>
      <c r="AP163" s="120">
        <f t="shared" si="118"/>
        <v>0</v>
      </c>
      <c r="AQ163" s="120">
        <f t="shared" ref="AQ163:AX167" si="121">IF(R163=0,0,R163/AQ31)</f>
        <v>0</v>
      </c>
      <c r="AR163" s="120">
        <f t="shared" si="121"/>
        <v>1</v>
      </c>
      <c r="AS163" s="120">
        <f t="shared" si="121"/>
        <v>0</v>
      </c>
      <c r="AT163" s="120">
        <f t="shared" si="121"/>
        <v>1</v>
      </c>
      <c r="AU163" s="120">
        <f t="shared" si="121"/>
        <v>0</v>
      </c>
      <c r="AV163" s="120">
        <f t="shared" si="121"/>
        <v>1</v>
      </c>
      <c r="AW163" s="120">
        <f t="shared" si="121"/>
        <v>1</v>
      </c>
      <c r="AX163" s="120">
        <f t="shared" si="121"/>
        <v>1</v>
      </c>
      <c r="AY163" s="120">
        <f t="shared" si="115"/>
        <v>8</v>
      </c>
      <c r="AZ163" s="20" t="s">
        <v>134</v>
      </c>
    </row>
    <row r="164" spans="1:52">
      <c r="A164" s="120" t="s">
        <v>170</v>
      </c>
      <c r="B164" s="120">
        <f t="shared" si="120"/>
        <v>0</v>
      </c>
      <c r="C164" s="120">
        <f t="shared" si="120"/>
        <v>1</v>
      </c>
      <c r="D164" s="120">
        <f t="shared" si="120"/>
        <v>0</v>
      </c>
      <c r="E164" s="120">
        <f t="shared" si="120"/>
        <v>0</v>
      </c>
      <c r="F164" s="120">
        <f t="shared" si="120"/>
        <v>0</v>
      </c>
      <c r="G164" s="120">
        <f t="shared" si="120"/>
        <v>0</v>
      </c>
      <c r="H164" s="120">
        <f t="shared" si="120"/>
        <v>0</v>
      </c>
      <c r="I164" s="120">
        <f t="shared" si="120"/>
        <v>0</v>
      </c>
      <c r="J164" s="120">
        <f t="shared" si="120"/>
        <v>0</v>
      </c>
      <c r="K164" s="120">
        <f t="shared" si="120"/>
        <v>1</v>
      </c>
      <c r="L164" s="120">
        <f t="shared" si="120"/>
        <v>0</v>
      </c>
      <c r="M164" s="120">
        <f t="shared" si="120"/>
        <v>1</v>
      </c>
      <c r="N164" s="120">
        <f t="shared" si="120"/>
        <v>0</v>
      </c>
      <c r="O164" s="120">
        <f t="shared" si="120"/>
        <v>0</v>
      </c>
      <c r="P164" s="120">
        <f t="shared" si="120"/>
        <v>0</v>
      </c>
      <c r="Q164" s="120">
        <f t="shared" si="120"/>
        <v>0</v>
      </c>
      <c r="R164" s="120">
        <f t="shared" si="120"/>
        <v>0</v>
      </c>
      <c r="S164" s="120">
        <f t="shared" si="120"/>
        <v>0</v>
      </c>
      <c r="T164" s="120">
        <f t="shared" si="120"/>
        <v>0</v>
      </c>
      <c r="U164" s="120">
        <f t="shared" si="120"/>
        <v>1</v>
      </c>
      <c r="V164" s="120">
        <f t="shared" si="120"/>
        <v>1</v>
      </c>
      <c r="W164" s="120">
        <f t="shared" si="120"/>
        <v>1</v>
      </c>
      <c r="X164" s="120">
        <f t="shared" si="120"/>
        <v>0</v>
      </c>
      <c r="Y164" s="120">
        <f t="shared" si="113"/>
        <v>1</v>
      </c>
      <c r="AA164" s="120">
        <f t="shared" ref="AA164:AP167" si="122">IF(B164=0,0,B164/AA32)</f>
        <v>0</v>
      </c>
      <c r="AB164" s="120">
        <f t="shared" si="122"/>
        <v>0.5</v>
      </c>
      <c r="AC164" s="120">
        <f t="shared" si="122"/>
        <v>0</v>
      </c>
      <c r="AD164" s="120">
        <f t="shared" si="122"/>
        <v>0</v>
      </c>
      <c r="AE164" s="120">
        <f t="shared" si="122"/>
        <v>0</v>
      </c>
      <c r="AF164" s="120">
        <f t="shared" si="122"/>
        <v>0</v>
      </c>
      <c r="AG164" s="120">
        <f t="shared" si="122"/>
        <v>0</v>
      </c>
      <c r="AH164" s="120">
        <f t="shared" si="122"/>
        <v>0</v>
      </c>
      <c r="AI164" s="120">
        <f t="shared" si="122"/>
        <v>0</v>
      </c>
      <c r="AJ164" s="120">
        <f t="shared" si="122"/>
        <v>1</v>
      </c>
      <c r="AK164" s="120">
        <f t="shared" si="122"/>
        <v>0</v>
      </c>
      <c r="AL164" s="120">
        <f t="shared" si="122"/>
        <v>0.5</v>
      </c>
      <c r="AM164" s="120">
        <f t="shared" si="122"/>
        <v>0</v>
      </c>
      <c r="AN164" s="120">
        <f t="shared" si="122"/>
        <v>0</v>
      </c>
      <c r="AO164" s="120">
        <f t="shared" si="122"/>
        <v>0</v>
      </c>
      <c r="AP164" s="120">
        <f t="shared" si="122"/>
        <v>0</v>
      </c>
      <c r="AQ164" s="120">
        <f t="shared" si="121"/>
        <v>0</v>
      </c>
      <c r="AR164" s="120">
        <f t="shared" si="121"/>
        <v>0</v>
      </c>
      <c r="AS164" s="120">
        <f t="shared" si="121"/>
        <v>0</v>
      </c>
      <c r="AT164" s="120">
        <f t="shared" si="121"/>
        <v>1</v>
      </c>
      <c r="AU164" s="120">
        <f t="shared" si="121"/>
        <v>1</v>
      </c>
      <c r="AV164" s="120">
        <f t="shared" si="121"/>
        <v>1</v>
      </c>
      <c r="AW164" s="120">
        <f t="shared" si="121"/>
        <v>0</v>
      </c>
      <c r="AX164" s="120">
        <f t="shared" si="121"/>
        <v>1</v>
      </c>
      <c r="AY164" s="120">
        <f t="shared" si="115"/>
        <v>6</v>
      </c>
      <c r="AZ164" s="20" t="s">
        <v>134</v>
      </c>
    </row>
    <row r="165" spans="1:52">
      <c r="A165" s="120" t="s">
        <v>171</v>
      </c>
      <c r="B165" s="120">
        <f t="shared" si="120"/>
        <v>0</v>
      </c>
      <c r="C165" s="120">
        <f t="shared" si="120"/>
        <v>0</v>
      </c>
      <c r="D165" s="120">
        <f t="shared" si="120"/>
        <v>0</v>
      </c>
      <c r="E165" s="120">
        <f t="shared" si="120"/>
        <v>0</v>
      </c>
      <c r="F165" s="120">
        <f t="shared" si="120"/>
        <v>0</v>
      </c>
      <c r="G165" s="120">
        <f t="shared" si="120"/>
        <v>0</v>
      </c>
      <c r="H165" s="120">
        <f t="shared" si="120"/>
        <v>0</v>
      </c>
      <c r="I165" s="120">
        <f t="shared" si="120"/>
        <v>0</v>
      </c>
      <c r="J165" s="120">
        <f t="shared" si="120"/>
        <v>1</v>
      </c>
      <c r="K165" s="120">
        <f t="shared" si="120"/>
        <v>1</v>
      </c>
      <c r="L165" s="120">
        <f t="shared" si="120"/>
        <v>1</v>
      </c>
      <c r="M165" s="120">
        <f t="shared" si="120"/>
        <v>0</v>
      </c>
      <c r="N165" s="120">
        <f t="shared" si="120"/>
        <v>1</v>
      </c>
      <c r="O165" s="120">
        <f t="shared" si="120"/>
        <v>0</v>
      </c>
      <c r="P165" s="120">
        <f t="shared" si="120"/>
        <v>0</v>
      </c>
      <c r="Q165" s="120">
        <f t="shared" si="120"/>
        <v>0</v>
      </c>
      <c r="R165" s="120">
        <f t="shared" si="120"/>
        <v>0</v>
      </c>
      <c r="S165" s="120">
        <f t="shared" si="120"/>
        <v>1</v>
      </c>
      <c r="T165" s="120">
        <f t="shared" si="120"/>
        <v>0</v>
      </c>
      <c r="U165" s="120">
        <f t="shared" si="120"/>
        <v>1</v>
      </c>
      <c r="V165" s="120">
        <f t="shared" si="120"/>
        <v>0</v>
      </c>
      <c r="W165" s="120">
        <f t="shared" si="120"/>
        <v>1</v>
      </c>
      <c r="X165" s="120">
        <f t="shared" si="120"/>
        <v>1</v>
      </c>
      <c r="Y165" s="120">
        <f t="shared" si="113"/>
        <v>1</v>
      </c>
      <c r="AA165" s="120">
        <f t="shared" si="122"/>
        <v>0</v>
      </c>
      <c r="AB165" s="120">
        <f t="shared" si="122"/>
        <v>0</v>
      </c>
      <c r="AC165" s="120">
        <f t="shared" si="122"/>
        <v>0</v>
      </c>
      <c r="AD165" s="120">
        <f t="shared" si="122"/>
        <v>0</v>
      </c>
      <c r="AE165" s="120">
        <f t="shared" si="122"/>
        <v>0</v>
      </c>
      <c r="AF165" s="120">
        <f t="shared" si="122"/>
        <v>0</v>
      </c>
      <c r="AG165" s="120">
        <f t="shared" si="122"/>
        <v>0</v>
      </c>
      <c r="AH165" s="120">
        <f t="shared" si="122"/>
        <v>0</v>
      </c>
      <c r="AI165" s="120">
        <f t="shared" si="122"/>
        <v>1</v>
      </c>
      <c r="AJ165" s="120">
        <f t="shared" si="122"/>
        <v>1</v>
      </c>
      <c r="AK165" s="120">
        <f t="shared" si="122"/>
        <v>1</v>
      </c>
      <c r="AL165" s="120">
        <f t="shared" si="122"/>
        <v>0</v>
      </c>
      <c r="AM165" s="120">
        <f t="shared" si="122"/>
        <v>1</v>
      </c>
      <c r="AN165" s="120">
        <f t="shared" si="122"/>
        <v>0</v>
      </c>
      <c r="AO165" s="120">
        <f t="shared" si="122"/>
        <v>0</v>
      </c>
      <c r="AP165" s="120">
        <f t="shared" si="122"/>
        <v>0</v>
      </c>
      <c r="AQ165" s="120">
        <f t="shared" si="121"/>
        <v>0</v>
      </c>
      <c r="AR165" s="120">
        <f t="shared" si="121"/>
        <v>1</v>
      </c>
      <c r="AS165" s="120">
        <f t="shared" si="121"/>
        <v>0</v>
      </c>
      <c r="AT165" s="120">
        <f t="shared" si="121"/>
        <v>1</v>
      </c>
      <c r="AU165" s="120">
        <f t="shared" si="121"/>
        <v>0</v>
      </c>
      <c r="AV165" s="120">
        <f t="shared" si="121"/>
        <v>1</v>
      </c>
      <c r="AW165" s="120">
        <f t="shared" si="121"/>
        <v>1</v>
      </c>
      <c r="AX165" s="120">
        <f t="shared" si="121"/>
        <v>1</v>
      </c>
      <c r="AY165" s="120">
        <f t="shared" si="115"/>
        <v>9</v>
      </c>
      <c r="AZ165" s="20" t="s">
        <v>134</v>
      </c>
    </row>
    <row r="166" spans="1:52">
      <c r="A166" s="120" t="s">
        <v>172</v>
      </c>
      <c r="B166" s="120">
        <f t="shared" si="120"/>
        <v>1</v>
      </c>
      <c r="C166" s="120">
        <f t="shared" si="120"/>
        <v>0</v>
      </c>
      <c r="D166" s="120">
        <f t="shared" si="120"/>
        <v>0</v>
      </c>
      <c r="E166" s="120">
        <f t="shared" si="120"/>
        <v>0</v>
      </c>
      <c r="F166" s="120">
        <f t="shared" si="120"/>
        <v>0</v>
      </c>
      <c r="G166" s="120">
        <f t="shared" si="120"/>
        <v>0</v>
      </c>
      <c r="H166" s="120">
        <f t="shared" si="120"/>
        <v>0</v>
      </c>
      <c r="I166" s="120">
        <f t="shared" si="120"/>
        <v>1</v>
      </c>
      <c r="J166" s="120">
        <f t="shared" si="120"/>
        <v>1</v>
      </c>
      <c r="K166" s="120">
        <f t="shared" si="120"/>
        <v>0</v>
      </c>
      <c r="L166" s="120">
        <f t="shared" si="120"/>
        <v>0</v>
      </c>
      <c r="M166" s="120">
        <f t="shared" si="120"/>
        <v>0</v>
      </c>
      <c r="N166" s="120">
        <f t="shared" si="120"/>
        <v>0</v>
      </c>
      <c r="O166" s="120">
        <f t="shared" si="120"/>
        <v>1</v>
      </c>
      <c r="P166" s="120">
        <f t="shared" si="120"/>
        <v>1</v>
      </c>
      <c r="Q166" s="120">
        <f t="shared" si="120"/>
        <v>1</v>
      </c>
      <c r="R166" s="120">
        <f t="shared" si="120"/>
        <v>0</v>
      </c>
      <c r="S166" s="120">
        <f t="shared" si="120"/>
        <v>0</v>
      </c>
      <c r="T166" s="120">
        <f t="shared" si="120"/>
        <v>0</v>
      </c>
      <c r="U166" s="120">
        <f t="shared" si="120"/>
        <v>0</v>
      </c>
      <c r="V166" s="120">
        <f t="shared" si="120"/>
        <v>0</v>
      </c>
      <c r="W166" s="120">
        <f t="shared" si="120"/>
        <v>1</v>
      </c>
      <c r="X166" s="120">
        <f t="shared" si="120"/>
        <v>1</v>
      </c>
      <c r="Y166" s="120">
        <f t="shared" si="113"/>
        <v>0</v>
      </c>
      <c r="AA166" s="120">
        <f t="shared" si="122"/>
        <v>1</v>
      </c>
      <c r="AB166" s="120">
        <f t="shared" si="122"/>
        <v>0</v>
      </c>
      <c r="AC166" s="120">
        <f t="shared" si="122"/>
        <v>0</v>
      </c>
      <c r="AD166" s="120">
        <f t="shared" si="122"/>
        <v>0</v>
      </c>
      <c r="AE166" s="120">
        <f t="shared" si="122"/>
        <v>0</v>
      </c>
      <c r="AF166" s="120">
        <f t="shared" si="122"/>
        <v>0</v>
      </c>
      <c r="AG166" s="120">
        <f t="shared" si="122"/>
        <v>0</v>
      </c>
      <c r="AH166" s="120">
        <f t="shared" si="122"/>
        <v>1</v>
      </c>
      <c r="AI166" s="120">
        <f t="shared" si="122"/>
        <v>1</v>
      </c>
      <c r="AJ166" s="120">
        <f t="shared" si="122"/>
        <v>0</v>
      </c>
      <c r="AK166" s="120">
        <f t="shared" si="122"/>
        <v>0</v>
      </c>
      <c r="AL166" s="120">
        <f t="shared" si="122"/>
        <v>0</v>
      </c>
      <c r="AM166" s="120">
        <f t="shared" si="122"/>
        <v>0</v>
      </c>
      <c r="AN166" s="120">
        <f t="shared" si="122"/>
        <v>0.5</v>
      </c>
      <c r="AO166" s="120">
        <f t="shared" si="122"/>
        <v>0.5</v>
      </c>
      <c r="AP166" s="120">
        <f t="shared" si="122"/>
        <v>1</v>
      </c>
      <c r="AQ166" s="120">
        <f t="shared" si="121"/>
        <v>0</v>
      </c>
      <c r="AR166" s="120">
        <f t="shared" si="121"/>
        <v>0</v>
      </c>
      <c r="AS166" s="120">
        <f t="shared" si="121"/>
        <v>0</v>
      </c>
      <c r="AT166" s="120">
        <f t="shared" si="121"/>
        <v>0</v>
      </c>
      <c r="AU166" s="120">
        <f t="shared" si="121"/>
        <v>0</v>
      </c>
      <c r="AV166" s="120">
        <f t="shared" si="121"/>
        <v>1</v>
      </c>
      <c r="AW166" s="120">
        <f t="shared" si="121"/>
        <v>1</v>
      </c>
      <c r="AX166" s="120">
        <f t="shared" si="121"/>
        <v>0</v>
      </c>
      <c r="AY166" s="120">
        <f t="shared" si="115"/>
        <v>7</v>
      </c>
      <c r="AZ166" s="20" t="s">
        <v>134</v>
      </c>
    </row>
    <row r="167" spans="1:52">
      <c r="A167" s="120" t="s">
        <v>173</v>
      </c>
      <c r="B167" s="120">
        <f t="shared" si="120"/>
        <v>0</v>
      </c>
      <c r="C167" s="120">
        <f t="shared" si="120"/>
        <v>0</v>
      </c>
      <c r="D167" s="120">
        <f t="shared" si="120"/>
        <v>0</v>
      </c>
      <c r="E167" s="120">
        <f t="shared" si="120"/>
        <v>1</v>
      </c>
      <c r="F167" s="120">
        <f t="shared" si="120"/>
        <v>0</v>
      </c>
      <c r="G167" s="120">
        <f t="shared" si="120"/>
        <v>0</v>
      </c>
      <c r="H167" s="120">
        <f t="shared" si="120"/>
        <v>1</v>
      </c>
      <c r="I167" s="120">
        <f t="shared" si="120"/>
        <v>1</v>
      </c>
      <c r="J167" s="120">
        <f t="shared" si="120"/>
        <v>0</v>
      </c>
      <c r="K167" s="120">
        <f t="shared" si="120"/>
        <v>1</v>
      </c>
      <c r="L167" s="120">
        <f t="shared" si="120"/>
        <v>0</v>
      </c>
      <c r="M167" s="120">
        <f t="shared" si="120"/>
        <v>0</v>
      </c>
      <c r="N167" s="120">
        <f t="shared" si="120"/>
        <v>0</v>
      </c>
      <c r="O167" s="120">
        <f t="shared" si="120"/>
        <v>0</v>
      </c>
      <c r="P167" s="120">
        <f t="shared" si="120"/>
        <v>0</v>
      </c>
      <c r="Q167" s="120">
        <f t="shared" si="120"/>
        <v>0</v>
      </c>
      <c r="R167" s="120">
        <f t="shared" si="120"/>
        <v>0</v>
      </c>
      <c r="S167" s="120">
        <f t="shared" si="120"/>
        <v>1</v>
      </c>
      <c r="T167" s="120">
        <f t="shared" si="120"/>
        <v>1</v>
      </c>
      <c r="U167" s="120">
        <f t="shared" si="120"/>
        <v>1</v>
      </c>
      <c r="V167" s="120">
        <f t="shared" si="120"/>
        <v>1</v>
      </c>
      <c r="W167" s="120">
        <f t="shared" si="120"/>
        <v>1</v>
      </c>
      <c r="X167" s="120">
        <f t="shared" si="120"/>
        <v>1</v>
      </c>
      <c r="Y167" s="120">
        <f t="shared" si="113"/>
        <v>1</v>
      </c>
      <c r="AA167" s="120">
        <f t="shared" si="122"/>
        <v>0</v>
      </c>
      <c r="AB167" s="120">
        <f t="shared" si="122"/>
        <v>0</v>
      </c>
      <c r="AC167" s="120">
        <f t="shared" si="122"/>
        <v>0</v>
      </c>
      <c r="AD167" s="120">
        <f t="shared" si="122"/>
        <v>1</v>
      </c>
      <c r="AE167" s="120">
        <f t="shared" si="122"/>
        <v>0</v>
      </c>
      <c r="AF167" s="120">
        <f t="shared" si="122"/>
        <v>0</v>
      </c>
      <c r="AG167" s="120">
        <f t="shared" si="122"/>
        <v>1</v>
      </c>
      <c r="AH167" s="120">
        <f t="shared" si="122"/>
        <v>1</v>
      </c>
      <c r="AI167" s="120">
        <f t="shared" si="122"/>
        <v>0</v>
      </c>
      <c r="AJ167" s="120">
        <f t="shared" si="122"/>
        <v>1</v>
      </c>
      <c r="AK167" s="120">
        <f t="shared" si="122"/>
        <v>0</v>
      </c>
      <c r="AL167" s="120">
        <f t="shared" si="122"/>
        <v>0</v>
      </c>
      <c r="AM167" s="120">
        <f t="shared" si="122"/>
        <v>0</v>
      </c>
      <c r="AN167" s="120">
        <f t="shared" si="122"/>
        <v>0</v>
      </c>
      <c r="AO167" s="120">
        <f t="shared" si="122"/>
        <v>0</v>
      </c>
      <c r="AP167" s="120">
        <f t="shared" si="122"/>
        <v>0</v>
      </c>
      <c r="AQ167" s="120">
        <f t="shared" si="121"/>
        <v>0</v>
      </c>
      <c r="AR167" s="120">
        <f t="shared" si="121"/>
        <v>1</v>
      </c>
      <c r="AS167" s="120">
        <f t="shared" si="121"/>
        <v>1</v>
      </c>
      <c r="AT167" s="120">
        <f t="shared" si="121"/>
        <v>1</v>
      </c>
      <c r="AU167" s="120">
        <f t="shared" si="121"/>
        <v>1</v>
      </c>
      <c r="AV167" s="120">
        <f t="shared" si="121"/>
        <v>1</v>
      </c>
      <c r="AW167" s="120">
        <f t="shared" si="121"/>
        <v>1</v>
      </c>
      <c r="AX167" s="120">
        <f t="shared" si="121"/>
        <v>1</v>
      </c>
      <c r="AY167" s="120">
        <f t="shared" si="115"/>
        <v>11</v>
      </c>
      <c r="AZ167" s="20" t="s">
        <v>134</v>
      </c>
    </row>
    <row r="169" spans="1:52">
      <c r="A169" s="134" t="s">
        <v>135</v>
      </c>
    </row>
    <row r="170" spans="1:52">
      <c r="A170" s="120" t="s">
        <v>143</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135</v>
      </c>
    </row>
    <row r="171" spans="1:52">
      <c r="A171" s="120" t="s">
        <v>144</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135</v>
      </c>
    </row>
    <row r="172" spans="1:52">
      <c r="A172" s="120" t="s">
        <v>145</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135</v>
      </c>
    </row>
    <row r="173" spans="1:52">
      <c r="A173" s="120" t="s">
        <v>146</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135</v>
      </c>
    </row>
    <row r="174" spans="1:52">
      <c r="A174" s="120" t="s">
        <v>147</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135</v>
      </c>
    </row>
    <row r="175" spans="1:52">
      <c r="A175" s="120" t="s">
        <v>148</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135</v>
      </c>
    </row>
    <row r="176" spans="1:52">
      <c r="A176" s="120" t="s">
        <v>149</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135</v>
      </c>
    </row>
    <row r="177" spans="1:52">
      <c r="A177" s="120" t="s">
        <v>150</v>
      </c>
      <c r="B177" s="120">
        <f t="shared" si="127"/>
        <v>0</v>
      </c>
      <c r="C177" s="120">
        <f t="shared" si="127"/>
        <v>0</v>
      </c>
      <c r="D177" s="120">
        <f t="shared" si="127"/>
        <v>0</v>
      </c>
      <c r="E177" s="120">
        <f t="shared" si="127"/>
        <v>0</v>
      </c>
      <c r="F177" s="120">
        <f t="shared" si="127"/>
        <v>0</v>
      </c>
      <c r="G177" s="120">
        <f t="shared" si="127"/>
        <v>1</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1</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1</v>
      </c>
      <c r="AZ177" s="20" t="s">
        <v>135</v>
      </c>
    </row>
    <row r="178" spans="1:52">
      <c r="A178" s="120" t="s">
        <v>151</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135</v>
      </c>
    </row>
    <row r="179" spans="1:52">
      <c r="A179" s="120" t="s">
        <v>152</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135</v>
      </c>
    </row>
    <row r="180" spans="1:52">
      <c r="A180" s="120" t="s">
        <v>153</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135</v>
      </c>
    </row>
    <row r="181" spans="1:52">
      <c r="A181" s="120" t="s">
        <v>154</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135</v>
      </c>
    </row>
    <row r="182" spans="1:52">
      <c r="A182" s="120" t="s">
        <v>155</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135</v>
      </c>
    </row>
    <row r="183" spans="1:52">
      <c r="A183" s="120" t="s">
        <v>156</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135</v>
      </c>
    </row>
    <row r="184" spans="1:52">
      <c r="A184" s="120" t="s">
        <v>157</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135</v>
      </c>
    </row>
    <row r="185" spans="1:52">
      <c r="A185" s="120" t="s">
        <v>158</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135</v>
      </c>
    </row>
    <row r="186" spans="1:52">
      <c r="A186" s="120" t="s">
        <v>159</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135</v>
      </c>
    </row>
    <row r="187" spans="1:52">
      <c r="A187" s="120" t="s">
        <v>160</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135</v>
      </c>
    </row>
    <row r="188" spans="1:52">
      <c r="A188" s="120" t="s">
        <v>161</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135</v>
      </c>
    </row>
    <row r="189" spans="1:52">
      <c r="A189" s="120" t="s">
        <v>162</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135</v>
      </c>
    </row>
    <row r="190" spans="1:52">
      <c r="A190" s="120" t="s">
        <v>163</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135</v>
      </c>
    </row>
    <row r="191" spans="1:52">
      <c r="A191" s="120" t="s">
        <v>164</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135</v>
      </c>
    </row>
    <row r="192" spans="1:52">
      <c r="A192" s="120" t="s">
        <v>165</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135</v>
      </c>
    </row>
    <row r="193" spans="1:52">
      <c r="A193" s="120" t="s">
        <v>166</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135</v>
      </c>
    </row>
    <row r="194" spans="1:52">
      <c r="A194" s="120" t="s">
        <v>167</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135</v>
      </c>
    </row>
    <row r="195" spans="1:52">
      <c r="A195" s="120" t="s">
        <v>168</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135</v>
      </c>
    </row>
    <row r="196" spans="1:52">
      <c r="A196" s="120" t="s">
        <v>169</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135</v>
      </c>
    </row>
    <row r="197" spans="1:52">
      <c r="A197" s="120" t="s">
        <v>170</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135</v>
      </c>
    </row>
    <row r="198" spans="1:52">
      <c r="A198" s="120" t="s">
        <v>171</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135</v>
      </c>
    </row>
    <row r="199" spans="1:52">
      <c r="A199" s="120" t="s">
        <v>172</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135</v>
      </c>
    </row>
    <row r="200" spans="1:52">
      <c r="A200" s="120" t="s">
        <v>173</v>
      </c>
      <c r="B200" s="120">
        <f t="shared" si="133"/>
        <v>1</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1</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1</v>
      </c>
      <c r="AZ200" s="20" t="s">
        <v>135</v>
      </c>
    </row>
    <row r="202" spans="1:52">
      <c r="A202" s="134" t="s">
        <v>136</v>
      </c>
    </row>
    <row r="203" spans="1:52">
      <c r="A203" s="120" t="s">
        <v>143</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136</v>
      </c>
    </row>
    <row r="204" spans="1:52">
      <c r="A204" s="120" t="s">
        <v>144</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136</v>
      </c>
    </row>
    <row r="205" spans="1:52">
      <c r="A205" s="120" t="s">
        <v>145</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136</v>
      </c>
    </row>
    <row r="206" spans="1:52">
      <c r="A206" s="120" t="s">
        <v>146</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136</v>
      </c>
    </row>
    <row r="207" spans="1:52">
      <c r="A207" s="120" t="s">
        <v>147</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136</v>
      </c>
    </row>
    <row r="208" spans="1:52">
      <c r="A208" s="120" t="s">
        <v>148</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136</v>
      </c>
    </row>
    <row r="209" spans="1:52">
      <c r="A209" s="120" t="s">
        <v>149</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136</v>
      </c>
    </row>
    <row r="210" spans="1:52">
      <c r="A210" s="120" t="s">
        <v>150</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136</v>
      </c>
    </row>
    <row r="211" spans="1:52">
      <c r="A211" s="120" t="s">
        <v>151</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136</v>
      </c>
    </row>
    <row r="212" spans="1:52">
      <c r="A212" s="120" t="s">
        <v>152</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136</v>
      </c>
    </row>
    <row r="213" spans="1:52">
      <c r="A213" s="120" t="s">
        <v>153</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136</v>
      </c>
    </row>
    <row r="214" spans="1:52">
      <c r="A214" s="120" t="s">
        <v>154</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136</v>
      </c>
    </row>
    <row r="215" spans="1:52">
      <c r="A215" s="120" t="s">
        <v>155</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136</v>
      </c>
    </row>
    <row r="216" spans="1:52">
      <c r="A216" s="120" t="s">
        <v>156</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136</v>
      </c>
    </row>
    <row r="217" spans="1:52">
      <c r="A217" s="120" t="s">
        <v>157</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136</v>
      </c>
    </row>
    <row r="218" spans="1:52">
      <c r="A218" s="120" t="s">
        <v>158</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136</v>
      </c>
    </row>
    <row r="219" spans="1:52">
      <c r="A219" s="120" t="s">
        <v>159</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136</v>
      </c>
    </row>
    <row r="220" spans="1:52">
      <c r="A220" s="120" t="s">
        <v>160</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136</v>
      </c>
    </row>
    <row r="221" spans="1:52">
      <c r="A221" s="120" t="s">
        <v>161</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136</v>
      </c>
    </row>
    <row r="222" spans="1:52">
      <c r="A222" s="120" t="s">
        <v>162</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136</v>
      </c>
    </row>
    <row r="223" spans="1:52">
      <c r="A223" s="120" t="s">
        <v>163</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136</v>
      </c>
    </row>
    <row r="224" spans="1:52">
      <c r="A224" s="120" t="s">
        <v>164</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136</v>
      </c>
    </row>
    <row r="225" spans="1:52">
      <c r="A225" s="120" t="s">
        <v>165</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136</v>
      </c>
    </row>
    <row r="226" spans="1:52">
      <c r="A226" s="120" t="s">
        <v>166</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136</v>
      </c>
    </row>
    <row r="227" spans="1:52">
      <c r="A227" s="120" t="s">
        <v>167</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136</v>
      </c>
    </row>
    <row r="228" spans="1:52">
      <c r="A228" s="120" t="s">
        <v>168</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136</v>
      </c>
    </row>
    <row r="229" spans="1:52">
      <c r="A229" s="120" t="s">
        <v>169</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136</v>
      </c>
    </row>
    <row r="230" spans="1:52">
      <c r="A230" s="120" t="s">
        <v>170</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136</v>
      </c>
    </row>
    <row r="231" spans="1:52">
      <c r="A231" s="120" t="s">
        <v>171</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136</v>
      </c>
    </row>
    <row r="232" spans="1:52">
      <c r="A232" s="120" t="s">
        <v>172</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136</v>
      </c>
    </row>
    <row r="233" spans="1:52">
      <c r="A233" s="120" t="s">
        <v>173</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136</v>
      </c>
    </row>
    <row r="235" spans="1:52">
      <c r="A235" s="134" t="s">
        <v>137</v>
      </c>
    </row>
    <row r="236" spans="1:52">
      <c r="A236" s="120" t="s">
        <v>143</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137</v>
      </c>
    </row>
    <row r="237" spans="1:52">
      <c r="A237" s="120" t="s">
        <v>144</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137</v>
      </c>
    </row>
    <row r="238" spans="1:52">
      <c r="A238" s="120" t="s">
        <v>145</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137</v>
      </c>
    </row>
    <row r="239" spans="1:52">
      <c r="A239" s="120" t="s">
        <v>146</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137</v>
      </c>
    </row>
    <row r="240" spans="1:52">
      <c r="A240" s="120" t="s">
        <v>147</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137</v>
      </c>
    </row>
    <row r="241" spans="1:52">
      <c r="A241" s="120" t="s">
        <v>148</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137</v>
      </c>
    </row>
    <row r="242" spans="1:52">
      <c r="A242" s="120" t="s">
        <v>149</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137</v>
      </c>
    </row>
    <row r="243" spans="1:52">
      <c r="A243" s="120" t="s">
        <v>150</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137</v>
      </c>
    </row>
    <row r="244" spans="1:52">
      <c r="A244" s="120" t="s">
        <v>151</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137</v>
      </c>
    </row>
    <row r="245" spans="1:52">
      <c r="A245" s="120" t="s">
        <v>152</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137</v>
      </c>
    </row>
    <row r="246" spans="1:52">
      <c r="A246" s="120" t="s">
        <v>153</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137</v>
      </c>
    </row>
    <row r="247" spans="1:52">
      <c r="A247" s="120" t="s">
        <v>154</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137</v>
      </c>
    </row>
    <row r="248" spans="1:52">
      <c r="A248" s="120" t="s">
        <v>155</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137</v>
      </c>
    </row>
    <row r="249" spans="1:52">
      <c r="A249" s="120" t="s">
        <v>156</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137</v>
      </c>
    </row>
    <row r="250" spans="1:52">
      <c r="A250" s="120" t="s">
        <v>157</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137</v>
      </c>
    </row>
    <row r="251" spans="1:52">
      <c r="A251" s="120" t="s">
        <v>158</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137</v>
      </c>
    </row>
    <row r="252" spans="1:52">
      <c r="A252" s="120" t="s">
        <v>159</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137</v>
      </c>
    </row>
    <row r="253" spans="1:52">
      <c r="A253" s="120" t="s">
        <v>160</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137</v>
      </c>
    </row>
    <row r="254" spans="1:52">
      <c r="A254" s="120" t="s">
        <v>161</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137</v>
      </c>
    </row>
    <row r="255" spans="1:52">
      <c r="A255" s="120" t="s">
        <v>162</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137</v>
      </c>
    </row>
    <row r="256" spans="1:52">
      <c r="A256" s="120" t="s">
        <v>163</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137</v>
      </c>
    </row>
    <row r="257" spans="1:52">
      <c r="A257" s="120" t="s">
        <v>164</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137</v>
      </c>
    </row>
    <row r="258" spans="1:52">
      <c r="A258" s="120" t="s">
        <v>165</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137</v>
      </c>
    </row>
    <row r="259" spans="1:52">
      <c r="A259" s="120" t="s">
        <v>166</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137</v>
      </c>
    </row>
    <row r="260" spans="1:52">
      <c r="A260" s="120" t="s">
        <v>167</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137</v>
      </c>
    </row>
    <row r="261" spans="1:52">
      <c r="A261" s="120" t="s">
        <v>168</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137</v>
      </c>
    </row>
    <row r="262" spans="1:52">
      <c r="A262" s="120" t="s">
        <v>169</v>
      </c>
      <c r="B262" s="120">
        <f t="shared" si="159"/>
        <v>0</v>
      </c>
      <c r="C262" s="120">
        <f t="shared" si="159"/>
        <v>0</v>
      </c>
      <c r="D262" s="120">
        <f t="shared" si="159"/>
        <v>0</v>
      </c>
      <c r="E262" s="120">
        <f t="shared" si="159"/>
        <v>0</v>
      </c>
      <c r="F262" s="120">
        <f t="shared" si="159"/>
        <v>0</v>
      </c>
      <c r="G262" s="120">
        <f t="shared" si="159"/>
        <v>0</v>
      </c>
      <c r="H262" s="120">
        <f t="shared" si="159"/>
        <v>0</v>
      </c>
      <c r="I262" s="120">
        <f t="shared" si="159"/>
        <v>1</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1</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1</v>
      </c>
      <c r="AZ262" s="20" t="s">
        <v>137</v>
      </c>
    </row>
    <row r="263" spans="1:52">
      <c r="A263" s="120" t="s">
        <v>170</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137</v>
      </c>
    </row>
    <row r="264" spans="1:52">
      <c r="A264" s="120" t="s">
        <v>171</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137</v>
      </c>
    </row>
    <row r="265" spans="1:52">
      <c r="A265" s="120" t="s">
        <v>172</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137</v>
      </c>
    </row>
    <row r="266" spans="1:52">
      <c r="A266" s="120" t="s">
        <v>173</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137</v>
      </c>
    </row>
    <row r="268" spans="1:52">
      <c r="A268" s="134" t="s">
        <v>138</v>
      </c>
    </row>
    <row r="269" spans="1:52">
      <c r="A269" s="120" t="s">
        <v>143</v>
      </c>
      <c r="B269" s="120">
        <f t="shared" ref="B269" si="162">IF(IFERROR(FIND($A$268,B5,1),0)=0,0,1)</f>
        <v>0</v>
      </c>
      <c r="C269" s="120">
        <f t="shared" ref="C269:Y269" si="163">IF(IFERROR(FIND($A$268,C5,1),0)=0,0,1)</f>
        <v>0</v>
      </c>
      <c r="D269" s="120">
        <f t="shared" si="163"/>
        <v>0</v>
      </c>
      <c r="E269" s="120">
        <f t="shared" si="163"/>
        <v>0</v>
      </c>
      <c r="F269" s="120">
        <f t="shared" si="163"/>
        <v>0</v>
      </c>
      <c r="G269" s="120">
        <f t="shared" si="163"/>
        <v>0</v>
      </c>
      <c r="H269" s="120">
        <f t="shared" si="163"/>
        <v>0</v>
      </c>
      <c r="I269" s="120">
        <f t="shared" si="163"/>
        <v>0</v>
      </c>
      <c r="J269" s="120">
        <f t="shared" si="163"/>
        <v>0</v>
      </c>
      <c r="K269" s="120">
        <f t="shared" si="163"/>
        <v>1</v>
      </c>
      <c r="L269" s="120">
        <f t="shared" si="163"/>
        <v>1</v>
      </c>
      <c r="M269" s="120">
        <f t="shared" si="163"/>
        <v>1</v>
      </c>
      <c r="N269" s="120">
        <f t="shared" si="163"/>
        <v>0</v>
      </c>
      <c r="O269" s="120">
        <f t="shared" si="163"/>
        <v>1</v>
      </c>
      <c r="P269" s="120">
        <f t="shared" si="163"/>
        <v>1</v>
      </c>
      <c r="Q269" s="120">
        <f t="shared" si="163"/>
        <v>1</v>
      </c>
      <c r="R269" s="120">
        <f t="shared" si="163"/>
        <v>1</v>
      </c>
      <c r="S269" s="120">
        <f t="shared" si="163"/>
        <v>0</v>
      </c>
      <c r="T269" s="120">
        <f t="shared" si="163"/>
        <v>0</v>
      </c>
      <c r="U269" s="120">
        <f t="shared" si="163"/>
        <v>0</v>
      </c>
      <c r="V269" s="120">
        <f t="shared" si="163"/>
        <v>0</v>
      </c>
      <c r="W269" s="120">
        <f t="shared" si="163"/>
        <v>0</v>
      </c>
      <c r="X269" s="120">
        <f t="shared" si="163"/>
        <v>0</v>
      </c>
      <c r="Y269" s="120">
        <f t="shared" si="163"/>
        <v>0</v>
      </c>
      <c r="AA269" s="120">
        <f t="shared" ref="AA269:AX279" si="164">IF(B269=0,0,B269/AA5)</f>
        <v>0</v>
      </c>
      <c r="AB269" s="120">
        <f t="shared" si="164"/>
        <v>0</v>
      </c>
      <c r="AC269" s="120">
        <f t="shared" si="164"/>
        <v>0</v>
      </c>
      <c r="AD269" s="120">
        <f t="shared" si="164"/>
        <v>0</v>
      </c>
      <c r="AE269" s="120">
        <f t="shared" si="164"/>
        <v>0</v>
      </c>
      <c r="AF269" s="120">
        <f t="shared" si="164"/>
        <v>0</v>
      </c>
      <c r="AG269" s="120">
        <f t="shared" si="164"/>
        <v>0</v>
      </c>
      <c r="AH269" s="120">
        <f t="shared" si="164"/>
        <v>0</v>
      </c>
      <c r="AI269" s="120">
        <f t="shared" si="164"/>
        <v>0</v>
      </c>
      <c r="AJ269" s="120">
        <f t="shared" si="164"/>
        <v>1</v>
      </c>
      <c r="AK269" s="120">
        <f t="shared" si="164"/>
        <v>1</v>
      </c>
      <c r="AL269" s="120">
        <f t="shared" si="164"/>
        <v>1</v>
      </c>
      <c r="AM269" s="120">
        <f t="shared" si="164"/>
        <v>0</v>
      </c>
      <c r="AN269" s="120">
        <f t="shared" si="164"/>
        <v>1</v>
      </c>
      <c r="AO269" s="120">
        <f t="shared" si="164"/>
        <v>0.5</v>
      </c>
      <c r="AP269" s="120">
        <f t="shared" si="164"/>
        <v>1</v>
      </c>
      <c r="AQ269" s="120">
        <f t="shared" si="164"/>
        <v>1</v>
      </c>
      <c r="AR269" s="120">
        <f t="shared" si="164"/>
        <v>0</v>
      </c>
      <c r="AS269" s="120">
        <f t="shared" si="164"/>
        <v>0</v>
      </c>
      <c r="AT269" s="120">
        <f t="shared" si="164"/>
        <v>0</v>
      </c>
      <c r="AU269" s="120">
        <f t="shared" si="164"/>
        <v>0</v>
      </c>
      <c r="AV269" s="120">
        <f t="shared" si="164"/>
        <v>0</v>
      </c>
      <c r="AW269" s="120">
        <f t="shared" si="164"/>
        <v>0</v>
      </c>
      <c r="AX269" s="120">
        <f t="shared" si="164"/>
        <v>0</v>
      </c>
      <c r="AY269" s="120">
        <f t="shared" ref="AY269:AY299" si="165">SUM(AA269:AX269)</f>
        <v>6.5</v>
      </c>
      <c r="AZ269" s="20" t="s">
        <v>138</v>
      </c>
    </row>
    <row r="270" spans="1:52">
      <c r="A270" s="120" t="s">
        <v>144</v>
      </c>
      <c r="B270" s="120">
        <f t="shared" ref="B270:Y280" si="166">IF(IFERROR(FIND($A$268,B6,1),0)=0,0,1)</f>
        <v>0</v>
      </c>
      <c r="C270" s="120">
        <f t="shared" si="166"/>
        <v>0</v>
      </c>
      <c r="D270" s="120">
        <f t="shared" si="166"/>
        <v>1</v>
      </c>
      <c r="E270" s="120">
        <f t="shared" si="166"/>
        <v>1</v>
      </c>
      <c r="F270" s="120">
        <f t="shared" si="166"/>
        <v>1</v>
      </c>
      <c r="G270" s="120">
        <f t="shared" si="166"/>
        <v>1</v>
      </c>
      <c r="H270" s="120">
        <f t="shared" si="166"/>
        <v>0</v>
      </c>
      <c r="I270" s="120">
        <f t="shared" si="166"/>
        <v>0</v>
      </c>
      <c r="J270" s="120">
        <f t="shared" si="166"/>
        <v>0</v>
      </c>
      <c r="K270" s="120">
        <f t="shared" si="166"/>
        <v>0</v>
      </c>
      <c r="L270" s="120">
        <f t="shared" si="166"/>
        <v>1</v>
      </c>
      <c r="M270" s="120">
        <f t="shared" si="166"/>
        <v>0</v>
      </c>
      <c r="N270" s="120">
        <f t="shared" si="166"/>
        <v>0</v>
      </c>
      <c r="O270" s="120">
        <f t="shared" si="166"/>
        <v>0</v>
      </c>
      <c r="P270" s="120">
        <f t="shared" si="166"/>
        <v>0</v>
      </c>
      <c r="Q270" s="120">
        <f t="shared" si="166"/>
        <v>0</v>
      </c>
      <c r="R270" s="120">
        <f t="shared" si="166"/>
        <v>0</v>
      </c>
      <c r="S270" s="120">
        <f t="shared" si="166"/>
        <v>0</v>
      </c>
      <c r="T270" s="120">
        <f t="shared" si="166"/>
        <v>0</v>
      </c>
      <c r="U270" s="120">
        <f t="shared" si="166"/>
        <v>0</v>
      </c>
      <c r="V270" s="120">
        <f t="shared" si="166"/>
        <v>0</v>
      </c>
      <c r="W270" s="120">
        <f t="shared" si="166"/>
        <v>0</v>
      </c>
      <c r="X270" s="120">
        <f t="shared" si="166"/>
        <v>0</v>
      </c>
      <c r="Y270" s="120">
        <f t="shared" si="166"/>
        <v>0</v>
      </c>
      <c r="AA270" s="120">
        <f t="shared" si="164"/>
        <v>0</v>
      </c>
      <c r="AB270" s="120">
        <f t="shared" si="164"/>
        <v>0</v>
      </c>
      <c r="AC270" s="120">
        <f t="shared" si="164"/>
        <v>1</v>
      </c>
      <c r="AD270" s="120">
        <f t="shared" si="164"/>
        <v>1</v>
      </c>
      <c r="AE270" s="120">
        <f t="shared" si="164"/>
        <v>1</v>
      </c>
      <c r="AF270" s="120">
        <f t="shared" si="164"/>
        <v>1</v>
      </c>
      <c r="AG270" s="120">
        <f t="shared" si="164"/>
        <v>0</v>
      </c>
      <c r="AH270" s="120">
        <f t="shared" si="164"/>
        <v>0</v>
      </c>
      <c r="AI270" s="120">
        <f t="shared" si="164"/>
        <v>0</v>
      </c>
      <c r="AJ270" s="120">
        <f t="shared" si="164"/>
        <v>0</v>
      </c>
      <c r="AK270" s="120">
        <f t="shared" si="164"/>
        <v>1</v>
      </c>
      <c r="AL270" s="120">
        <f t="shared" si="164"/>
        <v>0</v>
      </c>
      <c r="AM270" s="120">
        <f t="shared" si="164"/>
        <v>0</v>
      </c>
      <c r="AN270" s="120">
        <f t="shared" si="164"/>
        <v>0</v>
      </c>
      <c r="AO270" s="120">
        <f t="shared" si="164"/>
        <v>0</v>
      </c>
      <c r="AP270" s="120">
        <f t="shared" si="164"/>
        <v>0</v>
      </c>
      <c r="AQ270" s="120">
        <f t="shared" si="164"/>
        <v>0</v>
      </c>
      <c r="AR270" s="120">
        <f t="shared" si="164"/>
        <v>0</v>
      </c>
      <c r="AS270" s="120">
        <f t="shared" si="164"/>
        <v>0</v>
      </c>
      <c r="AT270" s="120">
        <f t="shared" si="164"/>
        <v>0</v>
      </c>
      <c r="AU270" s="120">
        <f t="shared" si="164"/>
        <v>0</v>
      </c>
      <c r="AV270" s="120">
        <f t="shared" si="164"/>
        <v>0</v>
      </c>
      <c r="AW270" s="120">
        <f t="shared" si="164"/>
        <v>0</v>
      </c>
      <c r="AX270" s="120">
        <f t="shared" si="164"/>
        <v>0</v>
      </c>
      <c r="AY270" s="120">
        <f t="shared" si="165"/>
        <v>5</v>
      </c>
      <c r="AZ270" s="20" t="s">
        <v>138</v>
      </c>
    </row>
    <row r="271" spans="1:52">
      <c r="A271" s="120" t="s">
        <v>145</v>
      </c>
      <c r="B271" s="120">
        <f t="shared" si="166"/>
        <v>0</v>
      </c>
      <c r="C271" s="120">
        <f t="shared" si="166"/>
        <v>0</v>
      </c>
      <c r="D271" s="120">
        <f t="shared" si="166"/>
        <v>1</v>
      </c>
      <c r="E271" s="120">
        <f t="shared" si="166"/>
        <v>1</v>
      </c>
      <c r="F271" s="120">
        <f t="shared" si="166"/>
        <v>1</v>
      </c>
      <c r="G271" s="120">
        <f t="shared" si="166"/>
        <v>1</v>
      </c>
      <c r="H271" s="120">
        <f t="shared" si="166"/>
        <v>1</v>
      </c>
      <c r="I271" s="120">
        <f t="shared" si="166"/>
        <v>1</v>
      </c>
      <c r="J271" s="120">
        <f t="shared" si="166"/>
        <v>0</v>
      </c>
      <c r="K271" s="120">
        <f t="shared" si="166"/>
        <v>1</v>
      </c>
      <c r="L271" s="120">
        <f t="shared" si="166"/>
        <v>0</v>
      </c>
      <c r="M271" s="120">
        <f t="shared" si="166"/>
        <v>0</v>
      </c>
      <c r="N271" s="120">
        <f t="shared" si="166"/>
        <v>0</v>
      </c>
      <c r="O271" s="120">
        <f t="shared" si="166"/>
        <v>0</v>
      </c>
      <c r="P271" s="120">
        <f t="shared" si="166"/>
        <v>1</v>
      </c>
      <c r="Q271" s="120">
        <f t="shared" si="166"/>
        <v>1</v>
      </c>
      <c r="R271" s="120">
        <f t="shared" si="166"/>
        <v>1</v>
      </c>
      <c r="S271" s="120">
        <f t="shared" si="166"/>
        <v>0</v>
      </c>
      <c r="T271" s="120">
        <f t="shared" si="166"/>
        <v>0</v>
      </c>
      <c r="U271" s="120">
        <f t="shared" si="166"/>
        <v>0</v>
      </c>
      <c r="V271" s="120">
        <f t="shared" si="166"/>
        <v>0</v>
      </c>
      <c r="W271" s="120">
        <f t="shared" si="166"/>
        <v>0</v>
      </c>
      <c r="X271" s="120">
        <f t="shared" si="166"/>
        <v>0</v>
      </c>
      <c r="Y271" s="120">
        <f t="shared" si="166"/>
        <v>0</v>
      </c>
      <c r="AA271" s="120">
        <f t="shared" si="164"/>
        <v>0</v>
      </c>
      <c r="AB271" s="120">
        <f t="shared" si="164"/>
        <v>0</v>
      </c>
      <c r="AC271" s="120">
        <f t="shared" si="164"/>
        <v>1</v>
      </c>
      <c r="AD271" s="120">
        <f t="shared" si="164"/>
        <v>1</v>
      </c>
      <c r="AE271" s="120">
        <f t="shared" si="164"/>
        <v>1</v>
      </c>
      <c r="AF271" s="120">
        <f t="shared" si="164"/>
        <v>1</v>
      </c>
      <c r="AG271" s="120">
        <f t="shared" si="164"/>
        <v>1</v>
      </c>
      <c r="AH271" s="120">
        <f t="shared" si="164"/>
        <v>0.5</v>
      </c>
      <c r="AI271" s="120">
        <f t="shared" si="164"/>
        <v>0</v>
      </c>
      <c r="AJ271" s="120">
        <f t="shared" si="164"/>
        <v>0.5</v>
      </c>
      <c r="AK271" s="120">
        <f t="shared" si="164"/>
        <v>0</v>
      </c>
      <c r="AL271" s="120">
        <f t="shared" si="164"/>
        <v>0</v>
      </c>
      <c r="AM271" s="120">
        <f t="shared" si="164"/>
        <v>0</v>
      </c>
      <c r="AN271" s="120">
        <f t="shared" si="164"/>
        <v>0</v>
      </c>
      <c r="AO271" s="120">
        <f t="shared" si="164"/>
        <v>1</v>
      </c>
      <c r="AP271" s="120">
        <f t="shared" si="164"/>
        <v>1</v>
      </c>
      <c r="AQ271" s="120">
        <f t="shared" si="164"/>
        <v>1</v>
      </c>
      <c r="AR271" s="120">
        <f t="shared" si="164"/>
        <v>0</v>
      </c>
      <c r="AS271" s="120">
        <f t="shared" si="164"/>
        <v>0</v>
      </c>
      <c r="AT271" s="120">
        <f t="shared" si="164"/>
        <v>0</v>
      </c>
      <c r="AU271" s="120">
        <f t="shared" si="164"/>
        <v>0</v>
      </c>
      <c r="AV271" s="120">
        <f t="shared" si="164"/>
        <v>0</v>
      </c>
      <c r="AW271" s="120">
        <f t="shared" si="164"/>
        <v>0</v>
      </c>
      <c r="AX271" s="120">
        <f t="shared" si="164"/>
        <v>0</v>
      </c>
      <c r="AY271" s="120">
        <f t="shared" si="165"/>
        <v>9</v>
      </c>
      <c r="AZ271" s="20" t="s">
        <v>138</v>
      </c>
    </row>
    <row r="272" spans="1:52">
      <c r="A272" s="120" t="s">
        <v>146</v>
      </c>
      <c r="B272" s="120">
        <f t="shared" si="166"/>
        <v>1</v>
      </c>
      <c r="C272" s="120">
        <f t="shared" si="166"/>
        <v>1</v>
      </c>
      <c r="D272" s="120">
        <f t="shared" si="166"/>
        <v>1</v>
      </c>
      <c r="E272" s="120">
        <f t="shared" si="166"/>
        <v>1</v>
      </c>
      <c r="F272" s="120">
        <f t="shared" si="166"/>
        <v>1</v>
      </c>
      <c r="G272" s="120">
        <f t="shared" si="166"/>
        <v>1</v>
      </c>
      <c r="H272" s="120">
        <f t="shared" si="166"/>
        <v>1</v>
      </c>
      <c r="I272" s="120">
        <f t="shared" si="166"/>
        <v>0</v>
      </c>
      <c r="J272" s="120">
        <f t="shared" si="166"/>
        <v>0</v>
      </c>
      <c r="K272" s="120">
        <f t="shared" si="166"/>
        <v>0</v>
      </c>
      <c r="L272" s="120">
        <f t="shared" si="166"/>
        <v>0</v>
      </c>
      <c r="M272" s="120">
        <f t="shared" si="166"/>
        <v>1</v>
      </c>
      <c r="N272" s="120">
        <f t="shared" si="166"/>
        <v>1</v>
      </c>
      <c r="O272" s="120">
        <f t="shared" si="166"/>
        <v>1</v>
      </c>
      <c r="P272" s="120">
        <f t="shared" si="166"/>
        <v>1</v>
      </c>
      <c r="Q272" s="120">
        <f t="shared" si="166"/>
        <v>1</v>
      </c>
      <c r="R272" s="120">
        <f t="shared" si="166"/>
        <v>0</v>
      </c>
      <c r="S272" s="120">
        <f t="shared" si="166"/>
        <v>0</v>
      </c>
      <c r="T272" s="120">
        <f t="shared" si="166"/>
        <v>0</v>
      </c>
      <c r="U272" s="120">
        <f t="shared" si="166"/>
        <v>0</v>
      </c>
      <c r="V272" s="120">
        <f t="shared" si="166"/>
        <v>0</v>
      </c>
      <c r="W272" s="120">
        <f t="shared" si="166"/>
        <v>1</v>
      </c>
      <c r="X272" s="120">
        <f t="shared" si="166"/>
        <v>0</v>
      </c>
      <c r="Y272" s="120">
        <f t="shared" si="166"/>
        <v>0</v>
      </c>
      <c r="AA272" s="120">
        <f t="shared" si="164"/>
        <v>1</v>
      </c>
      <c r="AB272" s="120">
        <f t="shared" si="164"/>
        <v>1</v>
      </c>
      <c r="AC272" s="120">
        <f t="shared" si="164"/>
        <v>1</v>
      </c>
      <c r="AD272" s="120">
        <f t="shared" si="164"/>
        <v>1</v>
      </c>
      <c r="AE272" s="120">
        <f t="shared" si="164"/>
        <v>1</v>
      </c>
      <c r="AF272" s="120">
        <f t="shared" si="164"/>
        <v>1</v>
      </c>
      <c r="AG272" s="120">
        <f t="shared" si="164"/>
        <v>1</v>
      </c>
      <c r="AH272" s="120">
        <f t="shared" si="164"/>
        <v>0</v>
      </c>
      <c r="AI272" s="120">
        <f t="shared" si="164"/>
        <v>0</v>
      </c>
      <c r="AJ272" s="120">
        <f t="shared" si="164"/>
        <v>0</v>
      </c>
      <c r="AK272" s="120">
        <f t="shared" si="164"/>
        <v>0</v>
      </c>
      <c r="AL272" s="120">
        <f t="shared" si="164"/>
        <v>1</v>
      </c>
      <c r="AM272" s="120">
        <f t="shared" si="164"/>
        <v>1</v>
      </c>
      <c r="AN272" s="120">
        <f t="shared" si="164"/>
        <v>1</v>
      </c>
      <c r="AO272" s="120">
        <f t="shared" si="164"/>
        <v>1</v>
      </c>
      <c r="AP272" s="120">
        <f t="shared" si="164"/>
        <v>1</v>
      </c>
      <c r="AQ272" s="120">
        <f t="shared" si="164"/>
        <v>0</v>
      </c>
      <c r="AR272" s="120">
        <f t="shared" si="164"/>
        <v>0</v>
      </c>
      <c r="AS272" s="120">
        <f t="shared" si="164"/>
        <v>0</v>
      </c>
      <c r="AT272" s="120">
        <f t="shared" si="164"/>
        <v>0</v>
      </c>
      <c r="AU272" s="120">
        <f t="shared" si="164"/>
        <v>0</v>
      </c>
      <c r="AV272" s="120">
        <f t="shared" si="164"/>
        <v>1</v>
      </c>
      <c r="AW272" s="120">
        <f t="shared" si="164"/>
        <v>0</v>
      </c>
      <c r="AX272" s="120">
        <f t="shared" si="164"/>
        <v>0</v>
      </c>
      <c r="AY272" s="120">
        <f t="shared" si="165"/>
        <v>13</v>
      </c>
      <c r="AZ272" s="20" t="s">
        <v>138</v>
      </c>
    </row>
    <row r="273" spans="1:52">
      <c r="A273" s="120" t="s">
        <v>147</v>
      </c>
      <c r="B273" s="120">
        <f t="shared" si="166"/>
        <v>0</v>
      </c>
      <c r="C273" s="120">
        <f t="shared" si="166"/>
        <v>1</v>
      </c>
      <c r="D273" s="120">
        <f t="shared" si="166"/>
        <v>1</v>
      </c>
      <c r="E273" s="120">
        <f t="shared" si="166"/>
        <v>1</v>
      </c>
      <c r="F273" s="120">
        <f t="shared" si="166"/>
        <v>1</v>
      </c>
      <c r="G273" s="120">
        <f t="shared" si="166"/>
        <v>1</v>
      </c>
      <c r="H273" s="120">
        <f t="shared" si="166"/>
        <v>1</v>
      </c>
      <c r="I273" s="120">
        <f t="shared" si="166"/>
        <v>1</v>
      </c>
      <c r="J273" s="120">
        <f t="shared" si="166"/>
        <v>0</v>
      </c>
      <c r="K273" s="120">
        <f t="shared" si="166"/>
        <v>0</v>
      </c>
      <c r="L273" s="120">
        <f t="shared" si="166"/>
        <v>1</v>
      </c>
      <c r="M273" s="120">
        <f t="shared" si="166"/>
        <v>1</v>
      </c>
      <c r="N273" s="120">
        <f t="shared" si="166"/>
        <v>1</v>
      </c>
      <c r="O273" s="120">
        <f t="shared" si="166"/>
        <v>1</v>
      </c>
      <c r="P273" s="120">
        <f t="shared" si="166"/>
        <v>1</v>
      </c>
      <c r="Q273" s="120">
        <f t="shared" si="166"/>
        <v>1</v>
      </c>
      <c r="R273" s="120">
        <f t="shared" si="166"/>
        <v>1</v>
      </c>
      <c r="S273" s="120">
        <f t="shared" si="166"/>
        <v>1</v>
      </c>
      <c r="T273" s="120">
        <f t="shared" si="166"/>
        <v>1</v>
      </c>
      <c r="U273" s="120">
        <f t="shared" si="166"/>
        <v>0</v>
      </c>
      <c r="V273" s="120">
        <f t="shared" si="166"/>
        <v>0</v>
      </c>
      <c r="W273" s="120">
        <f t="shared" si="166"/>
        <v>1</v>
      </c>
      <c r="X273" s="120">
        <f t="shared" si="166"/>
        <v>0</v>
      </c>
      <c r="Y273" s="120">
        <f t="shared" si="166"/>
        <v>1</v>
      </c>
      <c r="AA273" s="120">
        <f t="shared" si="164"/>
        <v>0</v>
      </c>
      <c r="AB273" s="120">
        <f t="shared" si="164"/>
        <v>1</v>
      </c>
      <c r="AC273" s="120">
        <f t="shared" si="164"/>
        <v>1</v>
      </c>
      <c r="AD273" s="120">
        <f t="shared" si="164"/>
        <v>1</v>
      </c>
      <c r="AE273" s="120">
        <f t="shared" si="164"/>
        <v>1</v>
      </c>
      <c r="AF273" s="120">
        <f t="shared" si="164"/>
        <v>1</v>
      </c>
      <c r="AG273" s="120">
        <f t="shared" si="164"/>
        <v>1</v>
      </c>
      <c r="AH273" s="120">
        <f t="shared" si="164"/>
        <v>1</v>
      </c>
      <c r="AI273" s="120">
        <f t="shared" si="164"/>
        <v>0</v>
      </c>
      <c r="AJ273" s="120">
        <f t="shared" si="164"/>
        <v>0</v>
      </c>
      <c r="AK273" s="120">
        <f t="shared" si="164"/>
        <v>1</v>
      </c>
      <c r="AL273" s="120">
        <f t="shared" si="164"/>
        <v>1</v>
      </c>
      <c r="AM273" s="120">
        <f t="shared" si="164"/>
        <v>1</v>
      </c>
      <c r="AN273" s="120">
        <f t="shared" si="164"/>
        <v>1</v>
      </c>
      <c r="AO273" s="120">
        <f t="shared" si="164"/>
        <v>1</v>
      </c>
      <c r="AP273" s="120">
        <f t="shared" si="164"/>
        <v>1</v>
      </c>
      <c r="AQ273" s="120">
        <f t="shared" si="164"/>
        <v>1</v>
      </c>
      <c r="AR273" s="120">
        <f t="shared" si="164"/>
        <v>1</v>
      </c>
      <c r="AS273" s="120">
        <f t="shared" si="164"/>
        <v>1</v>
      </c>
      <c r="AT273" s="120">
        <f t="shared" si="164"/>
        <v>0</v>
      </c>
      <c r="AU273" s="120">
        <f t="shared" si="164"/>
        <v>0</v>
      </c>
      <c r="AV273" s="120">
        <f t="shared" si="164"/>
        <v>1</v>
      </c>
      <c r="AW273" s="120">
        <f t="shared" si="164"/>
        <v>0</v>
      </c>
      <c r="AX273" s="120">
        <f t="shared" si="164"/>
        <v>1</v>
      </c>
      <c r="AY273" s="120">
        <f t="shared" si="165"/>
        <v>18</v>
      </c>
      <c r="AZ273" s="20" t="s">
        <v>138</v>
      </c>
    </row>
    <row r="274" spans="1:52">
      <c r="A274" s="120" t="s">
        <v>148</v>
      </c>
      <c r="B274" s="120">
        <f t="shared" si="166"/>
        <v>1</v>
      </c>
      <c r="C274" s="120">
        <f t="shared" si="166"/>
        <v>1</v>
      </c>
      <c r="D274" s="120">
        <f t="shared" si="166"/>
        <v>1</v>
      </c>
      <c r="E274" s="120">
        <f t="shared" si="166"/>
        <v>1</v>
      </c>
      <c r="F274" s="120">
        <f t="shared" si="166"/>
        <v>1</v>
      </c>
      <c r="G274" s="120">
        <f t="shared" si="166"/>
        <v>1</v>
      </c>
      <c r="H274" s="120">
        <f t="shared" si="166"/>
        <v>1</v>
      </c>
      <c r="I274" s="120">
        <f t="shared" si="166"/>
        <v>1</v>
      </c>
      <c r="J274" s="120">
        <f t="shared" si="166"/>
        <v>0</v>
      </c>
      <c r="K274" s="120">
        <f t="shared" si="166"/>
        <v>1</v>
      </c>
      <c r="L274" s="120">
        <f t="shared" si="166"/>
        <v>1</v>
      </c>
      <c r="M274" s="120">
        <f t="shared" si="166"/>
        <v>1</v>
      </c>
      <c r="N274" s="120">
        <f t="shared" si="166"/>
        <v>0</v>
      </c>
      <c r="O274" s="120">
        <f t="shared" si="166"/>
        <v>1</v>
      </c>
      <c r="P274" s="120">
        <f t="shared" si="166"/>
        <v>1</v>
      </c>
      <c r="Q274" s="120">
        <f t="shared" si="166"/>
        <v>1</v>
      </c>
      <c r="R274" s="120">
        <f t="shared" si="166"/>
        <v>1</v>
      </c>
      <c r="S274" s="120">
        <f t="shared" si="166"/>
        <v>1</v>
      </c>
      <c r="T274" s="120">
        <f t="shared" si="166"/>
        <v>0</v>
      </c>
      <c r="U274" s="120">
        <f t="shared" si="166"/>
        <v>0</v>
      </c>
      <c r="V274" s="120">
        <f t="shared" si="166"/>
        <v>0</v>
      </c>
      <c r="W274" s="120">
        <f t="shared" si="166"/>
        <v>0</v>
      </c>
      <c r="X274" s="120">
        <f t="shared" si="166"/>
        <v>0</v>
      </c>
      <c r="Y274" s="120">
        <f t="shared" si="166"/>
        <v>1</v>
      </c>
      <c r="AA274" s="120">
        <f t="shared" si="164"/>
        <v>1</v>
      </c>
      <c r="AB274" s="120">
        <f t="shared" si="164"/>
        <v>1</v>
      </c>
      <c r="AC274" s="120">
        <f t="shared" si="164"/>
        <v>0.5</v>
      </c>
      <c r="AD274" s="120">
        <f t="shared" si="164"/>
        <v>1</v>
      </c>
      <c r="AE274" s="120">
        <f t="shared" si="164"/>
        <v>1</v>
      </c>
      <c r="AF274" s="120">
        <f t="shared" si="164"/>
        <v>0.5</v>
      </c>
      <c r="AG274" s="120">
        <f t="shared" si="164"/>
        <v>1</v>
      </c>
      <c r="AH274" s="120">
        <f t="shared" si="164"/>
        <v>1</v>
      </c>
      <c r="AI274" s="120">
        <f t="shared" si="164"/>
        <v>0</v>
      </c>
      <c r="AJ274" s="120">
        <f t="shared" si="164"/>
        <v>1</v>
      </c>
      <c r="AK274" s="120">
        <f t="shared" si="164"/>
        <v>1</v>
      </c>
      <c r="AL274" s="120">
        <f t="shared" si="164"/>
        <v>1</v>
      </c>
      <c r="AM274" s="120">
        <f t="shared" si="164"/>
        <v>0</v>
      </c>
      <c r="AN274" s="120">
        <f t="shared" si="164"/>
        <v>1</v>
      </c>
      <c r="AO274" s="120">
        <f t="shared" si="164"/>
        <v>1</v>
      </c>
      <c r="AP274" s="120">
        <f t="shared" si="164"/>
        <v>1</v>
      </c>
      <c r="AQ274" s="120">
        <f t="shared" si="164"/>
        <v>1</v>
      </c>
      <c r="AR274" s="120">
        <f t="shared" si="164"/>
        <v>1</v>
      </c>
      <c r="AS274" s="120">
        <f t="shared" si="164"/>
        <v>0</v>
      </c>
      <c r="AT274" s="120">
        <f t="shared" si="164"/>
        <v>0</v>
      </c>
      <c r="AU274" s="120">
        <f t="shared" si="164"/>
        <v>0</v>
      </c>
      <c r="AV274" s="120">
        <f t="shared" si="164"/>
        <v>0</v>
      </c>
      <c r="AW274" s="120">
        <f t="shared" si="164"/>
        <v>0</v>
      </c>
      <c r="AX274" s="120">
        <f t="shared" si="164"/>
        <v>1</v>
      </c>
      <c r="AY274" s="120">
        <f t="shared" si="165"/>
        <v>16</v>
      </c>
      <c r="AZ274" s="20" t="s">
        <v>138</v>
      </c>
    </row>
    <row r="275" spans="1:52">
      <c r="A275" s="120" t="s">
        <v>149</v>
      </c>
      <c r="B275" s="120">
        <f t="shared" si="166"/>
        <v>0</v>
      </c>
      <c r="C275" s="120">
        <f t="shared" si="166"/>
        <v>0</v>
      </c>
      <c r="D275" s="120">
        <f t="shared" si="166"/>
        <v>0</v>
      </c>
      <c r="E275" s="120">
        <f t="shared" si="166"/>
        <v>0</v>
      </c>
      <c r="F275" s="120">
        <f t="shared" si="166"/>
        <v>1</v>
      </c>
      <c r="G275" s="120">
        <f t="shared" si="166"/>
        <v>1</v>
      </c>
      <c r="H275" s="120">
        <f t="shared" si="166"/>
        <v>0</v>
      </c>
      <c r="I275" s="120">
        <f t="shared" si="166"/>
        <v>0</v>
      </c>
      <c r="J275" s="120">
        <f t="shared" si="166"/>
        <v>1</v>
      </c>
      <c r="K275" s="120">
        <f t="shared" si="166"/>
        <v>0</v>
      </c>
      <c r="L275" s="120">
        <f t="shared" si="166"/>
        <v>1</v>
      </c>
      <c r="M275" s="120">
        <f t="shared" si="166"/>
        <v>1</v>
      </c>
      <c r="N275" s="120">
        <f t="shared" si="166"/>
        <v>1</v>
      </c>
      <c r="O275" s="120">
        <f t="shared" si="166"/>
        <v>1</v>
      </c>
      <c r="P275" s="120">
        <f t="shared" si="166"/>
        <v>1</v>
      </c>
      <c r="Q275" s="120">
        <f t="shared" si="166"/>
        <v>0</v>
      </c>
      <c r="R275" s="120">
        <f t="shared" si="166"/>
        <v>0</v>
      </c>
      <c r="S275" s="120">
        <f t="shared" si="166"/>
        <v>0</v>
      </c>
      <c r="T275" s="120">
        <f t="shared" si="166"/>
        <v>0</v>
      </c>
      <c r="U275" s="120">
        <f t="shared" si="166"/>
        <v>0</v>
      </c>
      <c r="V275" s="120">
        <f t="shared" si="166"/>
        <v>0</v>
      </c>
      <c r="W275" s="120">
        <f t="shared" si="166"/>
        <v>0</v>
      </c>
      <c r="X275" s="120">
        <f t="shared" si="166"/>
        <v>1</v>
      </c>
      <c r="Y275" s="120">
        <f t="shared" si="166"/>
        <v>1</v>
      </c>
      <c r="AA275" s="120">
        <f t="shared" si="164"/>
        <v>0</v>
      </c>
      <c r="AB275" s="120">
        <f t="shared" si="164"/>
        <v>0</v>
      </c>
      <c r="AC275" s="120">
        <f t="shared" si="164"/>
        <v>0</v>
      </c>
      <c r="AD275" s="120">
        <f t="shared" si="164"/>
        <v>0</v>
      </c>
      <c r="AE275" s="120">
        <f t="shared" si="164"/>
        <v>1</v>
      </c>
      <c r="AF275" s="120">
        <f t="shared" si="164"/>
        <v>1</v>
      </c>
      <c r="AG275" s="120">
        <f t="shared" si="164"/>
        <v>0</v>
      </c>
      <c r="AH275" s="120">
        <f t="shared" si="164"/>
        <v>0</v>
      </c>
      <c r="AI275" s="120">
        <f t="shared" si="164"/>
        <v>1</v>
      </c>
      <c r="AJ275" s="120">
        <f t="shared" si="164"/>
        <v>0</v>
      </c>
      <c r="AK275" s="120">
        <f t="shared" si="164"/>
        <v>1</v>
      </c>
      <c r="AL275" s="120">
        <f t="shared" si="164"/>
        <v>1</v>
      </c>
      <c r="AM275" s="120">
        <f t="shared" si="164"/>
        <v>1</v>
      </c>
      <c r="AN275" s="120">
        <f t="shared" si="164"/>
        <v>1</v>
      </c>
      <c r="AO275" s="120">
        <f t="shared" si="164"/>
        <v>1</v>
      </c>
      <c r="AP275" s="120">
        <f t="shared" si="164"/>
        <v>0</v>
      </c>
      <c r="AQ275" s="120">
        <f t="shared" si="164"/>
        <v>0</v>
      </c>
      <c r="AR275" s="120">
        <f t="shared" si="164"/>
        <v>0</v>
      </c>
      <c r="AS275" s="120">
        <f t="shared" si="164"/>
        <v>0</v>
      </c>
      <c r="AT275" s="120">
        <f t="shared" si="164"/>
        <v>0</v>
      </c>
      <c r="AU275" s="120">
        <f t="shared" si="164"/>
        <v>0</v>
      </c>
      <c r="AV275" s="120">
        <f t="shared" si="164"/>
        <v>0</v>
      </c>
      <c r="AW275" s="120">
        <f t="shared" si="164"/>
        <v>1</v>
      </c>
      <c r="AX275" s="120">
        <f t="shared" si="164"/>
        <v>1</v>
      </c>
      <c r="AY275" s="120">
        <f t="shared" si="165"/>
        <v>10</v>
      </c>
      <c r="AZ275" s="20" t="s">
        <v>138</v>
      </c>
    </row>
    <row r="276" spans="1:52">
      <c r="A276" s="120" t="s">
        <v>150</v>
      </c>
      <c r="B276" s="120">
        <f t="shared" si="166"/>
        <v>1</v>
      </c>
      <c r="C276" s="120">
        <f t="shared" si="166"/>
        <v>1</v>
      </c>
      <c r="D276" s="120">
        <f t="shared" si="166"/>
        <v>0</v>
      </c>
      <c r="E276" s="120">
        <f t="shared" si="166"/>
        <v>0</v>
      </c>
      <c r="F276" s="120">
        <f t="shared" si="166"/>
        <v>1</v>
      </c>
      <c r="G276" s="120">
        <f t="shared" si="166"/>
        <v>0</v>
      </c>
      <c r="H276" s="120">
        <f t="shared" si="166"/>
        <v>0</v>
      </c>
      <c r="I276" s="120">
        <f t="shared" si="166"/>
        <v>0</v>
      </c>
      <c r="J276" s="120">
        <f t="shared" si="166"/>
        <v>0</v>
      </c>
      <c r="K276" s="120">
        <f t="shared" si="166"/>
        <v>0</v>
      </c>
      <c r="L276" s="120">
        <f t="shared" si="166"/>
        <v>0</v>
      </c>
      <c r="M276" s="120">
        <f t="shared" si="166"/>
        <v>0</v>
      </c>
      <c r="N276" s="120">
        <f t="shared" si="166"/>
        <v>1</v>
      </c>
      <c r="O276" s="120">
        <f t="shared" si="166"/>
        <v>0</v>
      </c>
      <c r="P276" s="120">
        <f t="shared" si="166"/>
        <v>0</v>
      </c>
      <c r="Q276" s="120">
        <f t="shared" si="166"/>
        <v>1</v>
      </c>
      <c r="R276" s="120">
        <f t="shared" si="166"/>
        <v>0</v>
      </c>
      <c r="S276" s="120">
        <f t="shared" si="166"/>
        <v>0</v>
      </c>
      <c r="T276" s="120">
        <f t="shared" si="166"/>
        <v>0</v>
      </c>
      <c r="U276" s="120">
        <f t="shared" si="166"/>
        <v>0</v>
      </c>
      <c r="V276" s="120">
        <f t="shared" si="166"/>
        <v>0</v>
      </c>
      <c r="W276" s="120">
        <f t="shared" si="166"/>
        <v>0</v>
      </c>
      <c r="X276" s="120">
        <f t="shared" si="166"/>
        <v>0</v>
      </c>
      <c r="Y276" s="120">
        <f t="shared" si="166"/>
        <v>0</v>
      </c>
      <c r="AA276" s="120">
        <f t="shared" si="164"/>
        <v>1</v>
      </c>
      <c r="AB276" s="120">
        <f t="shared" si="164"/>
        <v>1</v>
      </c>
      <c r="AC276" s="120">
        <f t="shared" si="164"/>
        <v>0</v>
      </c>
      <c r="AD276" s="120">
        <f t="shared" si="164"/>
        <v>0</v>
      </c>
      <c r="AE276" s="120">
        <f t="shared" si="164"/>
        <v>1</v>
      </c>
      <c r="AF276" s="120">
        <f t="shared" si="164"/>
        <v>0</v>
      </c>
      <c r="AG276" s="120">
        <f t="shared" si="164"/>
        <v>0</v>
      </c>
      <c r="AH276" s="120">
        <f t="shared" si="164"/>
        <v>0</v>
      </c>
      <c r="AI276" s="120">
        <f t="shared" si="164"/>
        <v>0</v>
      </c>
      <c r="AJ276" s="120">
        <f t="shared" si="164"/>
        <v>0</v>
      </c>
      <c r="AK276" s="120">
        <f t="shared" si="164"/>
        <v>0</v>
      </c>
      <c r="AL276" s="120">
        <f t="shared" si="164"/>
        <v>0</v>
      </c>
      <c r="AM276" s="120">
        <f t="shared" si="164"/>
        <v>1</v>
      </c>
      <c r="AN276" s="120">
        <f t="shared" si="164"/>
        <v>0</v>
      </c>
      <c r="AO276" s="120">
        <f t="shared" si="164"/>
        <v>0</v>
      </c>
      <c r="AP276" s="120">
        <f t="shared" si="164"/>
        <v>1</v>
      </c>
      <c r="AQ276" s="120">
        <f t="shared" si="164"/>
        <v>0</v>
      </c>
      <c r="AR276" s="120">
        <f t="shared" si="164"/>
        <v>0</v>
      </c>
      <c r="AS276" s="120">
        <f t="shared" si="164"/>
        <v>0</v>
      </c>
      <c r="AT276" s="120">
        <f t="shared" si="164"/>
        <v>0</v>
      </c>
      <c r="AU276" s="120">
        <f t="shared" si="164"/>
        <v>0</v>
      </c>
      <c r="AV276" s="120">
        <f t="shared" si="164"/>
        <v>0</v>
      </c>
      <c r="AW276" s="120">
        <f t="shared" si="164"/>
        <v>0</v>
      </c>
      <c r="AX276" s="120">
        <f t="shared" si="164"/>
        <v>0</v>
      </c>
      <c r="AY276" s="120">
        <f t="shared" si="165"/>
        <v>5</v>
      </c>
      <c r="AZ276" s="20" t="s">
        <v>138</v>
      </c>
    </row>
    <row r="277" spans="1:52">
      <c r="A277" s="120" t="s">
        <v>151</v>
      </c>
      <c r="B277" s="120">
        <f t="shared" si="166"/>
        <v>0</v>
      </c>
      <c r="C277" s="120">
        <f t="shared" si="166"/>
        <v>0</v>
      </c>
      <c r="D277" s="120">
        <f t="shared" si="166"/>
        <v>1</v>
      </c>
      <c r="E277" s="120">
        <f t="shared" si="166"/>
        <v>1</v>
      </c>
      <c r="F277" s="120">
        <f t="shared" si="166"/>
        <v>1</v>
      </c>
      <c r="G277" s="120">
        <f t="shared" si="166"/>
        <v>1</v>
      </c>
      <c r="H277" s="120">
        <f t="shared" si="166"/>
        <v>0</v>
      </c>
      <c r="I277" s="120">
        <f t="shared" si="166"/>
        <v>0</v>
      </c>
      <c r="J277" s="120">
        <f t="shared" si="166"/>
        <v>0</v>
      </c>
      <c r="K277" s="120">
        <f t="shared" si="166"/>
        <v>0</v>
      </c>
      <c r="L277" s="120">
        <f t="shared" si="166"/>
        <v>1</v>
      </c>
      <c r="M277" s="120">
        <f t="shared" si="166"/>
        <v>0</v>
      </c>
      <c r="N277" s="120">
        <f t="shared" si="166"/>
        <v>1</v>
      </c>
      <c r="O277" s="120">
        <f t="shared" si="166"/>
        <v>0</v>
      </c>
      <c r="P277" s="120">
        <f t="shared" si="166"/>
        <v>0</v>
      </c>
      <c r="Q277" s="120">
        <f t="shared" si="166"/>
        <v>0</v>
      </c>
      <c r="R277" s="120">
        <f t="shared" si="166"/>
        <v>1</v>
      </c>
      <c r="S277" s="120">
        <f t="shared" si="166"/>
        <v>0</v>
      </c>
      <c r="T277" s="120">
        <f t="shared" si="166"/>
        <v>0</v>
      </c>
      <c r="U277" s="120">
        <f t="shared" si="166"/>
        <v>0</v>
      </c>
      <c r="V277" s="120">
        <f t="shared" si="166"/>
        <v>0</v>
      </c>
      <c r="W277" s="120">
        <f t="shared" si="166"/>
        <v>0</v>
      </c>
      <c r="X277" s="120">
        <f t="shared" si="166"/>
        <v>0</v>
      </c>
      <c r="Y277" s="120">
        <f t="shared" si="166"/>
        <v>1</v>
      </c>
      <c r="AA277" s="120">
        <f t="shared" si="164"/>
        <v>0</v>
      </c>
      <c r="AB277" s="120">
        <f t="shared" si="164"/>
        <v>0</v>
      </c>
      <c r="AC277" s="120">
        <f t="shared" si="164"/>
        <v>1</v>
      </c>
      <c r="AD277" s="120">
        <f t="shared" si="164"/>
        <v>1</v>
      </c>
      <c r="AE277" s="120">
        <f t="shared" si="164"/>
        <v>1</v>
      </c>
      <c r="AF277" s="120">
        <f t="shared" si="164"/>
        <v>1</v>
      </c>
      <c r="AG277" s="120">
        <f t="shared" si="164"/>
        <v>0</v>
      </c>
      <c r="AH277" s="120">
        <f t="shared" si="164"/>
        <v>0</v>
      </c>
      <c r="AI277" s="120">
        <f t="shared" si="164"/>
        <v>0</v>
      </c>
      <c r="AJ277" s="120">
        <f t="shared" si="164"/>
        <v>0</v>
      </c>
      <c r="AK277" s="120">
        <f t="shared" si="164"/>
        <v>1</v>
      </c>
      <c r="AL277" s="120">
        <f t="shared" si="164"/>
        <v>0</v>
      </c>
      <c r="AM277" s="120">
        <f t="shared" si="164"/>
        <v>1</v>
      </c>
      <c r="AN277" s="120">
        <f t="shared" si="164"/>
        <v>0</v>
      </c>
      <c r="AO277" s="120">
        <f t="shared" si="164"/>
        <v>0</v>
      </c>
      <c r="AP277" s="120">
        <f t="shared" si="164"/>
        <v>0</v>
      </c>
      <c r="AQ277" s="120">
        <f t="shared" si="164"/>
        <v>1</v>
      </c>
      <c r="AR277" s="120">
        <f t="shared" si="164"/>
        <v>0</v>
      </c>
      <c r="AS277" s="120">
        <f t="shared" si="164"/>
        <v>0</v>
      </c>
      <c r="AT277" s="120">
        <f t="shared" si="164"/>
        <v>0</v>
      </c>
      <c r="AU277" s="120">
        <f t="shared" si="164"/>
        <v>0</v>
      </c>
      <c r="AV277" s="120">
        <f t="shared" si="164"/>
        <v>0</v>
      </c>
      <c r="AW277" s="120">
        <f t="shared" si="164"/>
        <v>0</v>
      </c>
      <c r="AX277" s="120">
        <f t="shared" si="164"/>
        <v>0.5</v>
      </c>
      <c r="AY277" s="120">
        <f t="shared" si="165"/>
        <v>7.5</v>
      </c>
      <c r="AZ277" s="20" t="s">
        <v>138</v>
      </c>
    </row>
    <row r="278" spans="1:52">
      <c r="A278" s="120" t="s">
        <v>152</v>
      </c>
      <c r="B278" s="120">
        <f t="shared" si="166"/>
        <v>1</v>
      </c>
      <c r="C278" s="120">
        <f t="shared" si="166"/>
        <v>1</v>
      </c>
      <c r="D278" s="120">
        <f t="shared" si="166"/>
        <v>1</v>
      </c>
      <c r="E278" s="120">
        <f t="shared" si="166"/>
        <v>1</v>
      </c>
      <c r="F278" s="120">
        <f t="shared" si="166"/>
        <v>1</v>
      </c>
      <c r="G278" s="120">
        <f t="shared" si="166"/>
        <v>0</v>
      </c>
      <c r="H278" s="120">
        <f t="shared" si="166"/>
        <v>1</v>
      </c>
      <c r="I278" s="120">
        <f t="shared" si="166"/>
        <v>0</v>
      </c>
      <c r="J278" s="120">
        <f t="shared" si="166"/>
        <v>0</v>
      </c>
      <c r="K278" s="120">
        <f t="shared" si="166"/>
        <v>0</v>
      </c>
      <c r="L278" s="120">
        <f t="shared" si="166"/>
        <v>0</v>
      </c>
      <c r="M278" s="120">
        <f t="shared" si="166"/>
        <v>0</v>
      </c>
      <c r="N278" s="120">
        <f t="shared" si="166"/>
        <v>0</v>
      </c>
      <c r="O278" s="120">
        <f t="shared" si="166"/>
        <v>0</v>
      </c>
      <c r="P278" s="120">
        <f t="shared" si="166"/>
        <v>0</v>
      </c>
      <c r="Q278" s="120">
        <f t="shared" si="166"/>
        <v>0</v>
      </c>
      <c r="R278" s="120">
        <f t="shared" si="166"/>
        <v>0</v>
      </c>
      <c r="S278" s="120">
        <f t="shared" si="166"/>
        <v>0</v>
      </c>
      <c r="T278" s="120">
        <f t="shared" si="166"/>
        <v>0</v>
      </c>
      <c r="U278" s="120">
        <f t="shared" si="166"/>
        <v>0</v>
      </c>
      <c r="V278" s="120">
        <f t="shared" si="166"/>
        <v>0</v>
      </c>
      <c r="W278" s="120">
        <f t="shared" si="166"/>
        <v>0</v>
      </c>
      <c r="X278" s="120">
        <f t="shared" si="166"/>
        <v>0</v>
      </c>
      <c r="Y278" s="120">
        <f t="shared" si="166"/>
        <v>0</v>
      </c>
      <c r="AA278" s="120">
        <f t="shared" si="164"/>
        <v>1</v>
      </c>
      <c r="AB278" s="120">
        <f t="shared" si="164"/>
        <v>1</v>
      </c>
      <c r="AC278" s="120">
        <f t="shared" si="164"/>
        <v>0.5</v>
      </c>
      <c r="AD278" s="120">
        <f t="shared" si="164"/>
        <v>1</v>
      </c>
      <c r="AE278" s="120">
        <f t="shared" si="164"/>
        <v>0.5</v>
      </c>
      <c r="AF278" s="120">
        <f t="shared" si="164"/>
        <v>0</v>
      </c>
      <c r="AG278" s="120">
        <f t="shared" si="164"/>
        <v>1</v>
      </c>
      <c r="AH278" s="120">
        <f t="shared" si="164"/>
        <v>0</v>
      </c>
      <c r="AI278" s="120">
        <f t="shared" si="164"/>
        <v>0</v>
      </c>
      <c r="AJ278" s="120">
        <f t="shared" si="164"/>
        <v>0</v>
      </c>
      <c r="AK278" s="120">
        <f t="shared" si="164"/>
        <v>0</v>
      </c>
      <c r="AL278" s="120">
        <f t="shared" si="164"/>
        <v>0</v>
      </c>
      <c r="AM278" s="120">
        <f t="shared" si="164"/>
        <v>0</v>
      </c>
      <c r="AN278" s="120">
        <f t="shared" si="164"/>
        <v>0</v>
      </c>
      <c r="AO278" s="120">
        <f t="shared" si="164"/>
        <v>0</v>
      </c>
      <c r="AP278" s="120">
        <f t="shared" si="164"/>
        <v>0</v>
      </c>
      <c r="AQ278" s="120">
        <f t="shared" si="164"/>
        <v>0</v>
      </c>
      <c r="AR278" s="120">
        <f t="shared" si="164"/>
        <v>0</v>
      </c>
      <c r="AS278" s="120">
        <f t="shared" si="164"/>
        <v>0</v>
      </c>
      <c r="AT278" s="120">
        <f t="shared" si="164"/>
        <v>0</v>
      </c>
      <c r="AU278" s="120">
        <f t="shared" si="164"/>
        <v>0</v>
      </c>
      <c r="AV278" s="120">
        <f t="shared" si="164"/>
        <v>0</v>
      </c>
      <c r="AW278" s="120">
        <f t="shared" si="164"/>
        <v>0</v>
      </c>
      <c r="AX278" s="120">
        <f t="shared" si="164"/>
        <v>0</v>
      </c>
      <c r="AY278" s="120">
        <f t="shared" si="165"/>
        <v>5</v>
      </c>
      <c r="AZ278" s="20" t="s">
        <v>138</v>
      </c>
    </row>
    <row r="279" spans="1:52">
      <c r="A279" s="120" t="s">
        <v>153</v>
      </c>
      <c r="B279" s="120">
        <f t="shared" si="166"/>
        <v>0</v>
      </c>
      <c r="C279" s="120">
        <f t="shared" si="166"/>
        <v>1</v>
      </c>
      <c r="D279" s="120">
        <f t="shared" si="166"/>
        <v>1</v>
      </c>
      <c r="E279" s="120">
        <f t="shared" si="166"/>
        <v>0</v>
      </c>
      <c r="F279" s="120">
        <f t="shared" si="166"/>
        <v>0</v>
      </c>
      <c r="G279" s="120">
        <f t="shared" si="166"/>
        <v>0</v>
      </c>
      <c r="H279" s="120">
        <f t="shared" si="166"/>
        <v>1</v>
      </c>
      <c r="I279" s="120">
        <f t="shared" si="166"/>
        <v>0</v>
      </c>
      <c r="J279" s="120">
        <f t="shared" si="166"/>
        <v>0</v>
      </c>
      <c r="K279" s="120">
        <f t="shared" si="166"/>
        <v>0</v>
      </c>
      <c r="L279" s="120">
        <f t="shared" si="166"/>
        <v>0</v>
      </c>
      <c r="M279" s="120">
        <f t="shared" si="166"/>
        <v>0</v>
      </c>
      <c r="N279" s="120">
        <f t="shared" si="166"/>
        <v>0</v>
      </c>
      <c r="O279" s="120">
        <f t="shared" si="166"/>
        <v>1</v>
      </c>
      <c r="P279" s="120">
        <f t="shared" si="166"/>
        <v>1</v>
      </c>
      <c r="Q279" s="120">
        <f t="shared" si="166"/>
        <v>0</v>
      </c>
      <c r="R279" s="120">
        <f t="shared" si="166"/>
        <v>0</v>
      </c>
      <c r="S279" s="120">
        <f t="shared" si="166"/>
        <v>0</v>
      </c>
      <c r="T279" s="120">
        <f t="shared" si="166"/>
        <v>0</v>
      </c>
      <c r="U279" s="120">
        <f t="shared" si="166"/>
        <v>0</v>
      </c>
      <c r="V279" s="120">
        <f t="shared" si="166"/>
        <v>0</v>
      </c>
      <c r="W279" s="120">
        <f t="shared" si="166"/>
        <v>0</v>
      </c>
      <c r="X279" s="120">
        <f t="shared" si="166"/>
        <v>0</v>
      </c>
      <c r="Y279" s="120">
        <f t="shared" si="166"/>
        <v>0</v>
      </c>
      <c r="AA279" s="120">
        <f t="shared" si="164"/>
        <v>0</v>
      </c>
      <c r="AB279" s="120">
        <f t="shared" si="164"/>
        <v>1</v>
      </c>
      <c r="AC279" s="120">
        <f t="shared" si="164"/>
        <v>1</v>
      </c>
      <c r="AD279" s="120">
        <f t="shared" si="164"/>
        <v>0</v>
      </c>
      <c r="AE279" s="120">
        <f t="shared" si="164"/>
        <v>0</v>
      </c>
      <c r="AF279" s="120">
        <f t="shared" si="164"/>
        <v>0</v>
      </c>
      <c r="AG279" s="120">
        <f t="shared" si="164"/>
        <v>1</v>
      </c>
      <c r="AH279" s="120">
        <f t="shared" si="164"/>
        <v>0</v>
      </c>
      <c r="AI279" s="120">
        <f t="shared" si="164"/>
        <v>0</v>
      </c>
      <c r="AJ279" s="120">
        <f t="shared" si="164"/>
        <v>0</v>
      </c>
      <c r="AK279" s="120">
        <f t="shared" si="164"/>
        <v>0</v>
      </c>
      <c r="AL279" s="120">
        <f t="shared" si="164"/>
        <v>0</v>
      </c>
      <c r="AM279" s="120">
        <f t="shared" si="164"/>
        <v>0</v>
      </c>
      <c r="AN279" s="120">
        <f t="shared" si="164"/>
        <v>1</v>
      </c>
      <c r="AO279" s="120">
        <f t="shared" si="164"/>
        <v>1</v>
      </c>
      <c r="AP279" s="120">
        <f t="shared" ref="AP279:AX294" si="167">IF(Q279=0,0,Q279/AP15)</f>
        <v>0</v>
      </c>
      <c r="AQ279" s="120">
        <f t="shared" si="167"/>
        <v>0</v>
      </c>
      <c r="AR279" s="120">
        <f t="shared" si="167"/>
        <v>0</v>
      </c>
      <c r="AS279" s="120">
        <f t="shared" si="167"/>
        <v>0</v>
      </c>
      <c r="AT279" s="120">
        <f t="shared" si="167"/>
        <v>0</v>
      </c>
      <c r="AU279" s="120">
        <f t="shared" si="167"/>
        <v>0</v>
      </c>
      <c r="AV279" s="120">
        <f t="shared" si="167"/>
        <v>0</v>
      </c>
      <c r="AW279" s="120">
        <f t="shared" si="167"/>
        <v>0</v>
      </c>
      <c r="AX279" s="120">
        <f t="shared" si="167"/>
        <v>0</v>
      </c>
      <c r="AY279" s="120">
        <f t="shared" si="165"/>
        <v>5</v>
      </c>
      <c r="AZ279" s="20" t="s">
        <v>138</v>
      </c>
    </row>
    <row r="280" spans="1:52">
      <c r="A280" s="120" t="s">
        <v>154</v>
      </c>
      <c r="B280" s="120">
        <f t="shared" si="166"/>
        <v>0</v>
      </c>
      <c r="C280" s="120">
        <f t="shared" si="166"/>
        <v>1</v>
      </c>
      <c r="D280" s="120">
        <f t="shared" si="166"/>
        <v>1</v>
      </c>
      <c r="E280" s="120">
        <f t="shared" si="166"/>
        <v>1</v>
      </c>
      <c r="F280" s="120">
        <f t="shared" si="166"/>
        <v>1</v>
      </c>
      <c r="G280" s="120">
        <f t="shared" si="166"/>
        <v>1</v>
      </c>
      <c r="H280" s="120">
        <f t="shared" si="166"/>
        <v>1</v>
      </c>
      <c r="I280" s="120">
        <f t="shared" si="166"/>
        <v>1</v>
      </c>
      <c r="J280" s="120">
        <f t="shared" si="166"/>
        <v>1</v>
      </c>
      <c r="K280" s="120">
        <f t="shared" si="166"/>
        <v>0</v>
      </c>
      <c r="L280" s="120">
        <f t="shared" si="166"/>
        <v>1</v>
      </c>
      <c r="M280" s="120">
        <f t="shared" si="166"/>
        <v>1</v>
      </c>
      <c r="N280" s="120">
        <f t="shared" si="166"/>
        <v>1</v>
      </c>
      <c r="O280" s="120">
        <f t="shared" si="166"/>
        <v>1</v>
      </c>
      <c r="P280" s="120">
        <f t="shared" si="166"/>
        <v>1</v>
      </c>
      <c r="Q280" s="120">
        <f t="shared" ref="Q280:Y280" si="168">IF(IFERROR(FIND($A$268,Q16,1),0)=0,0,1)</f>
        <v>1</v>
      </c>
      <c r="R280" s="120">
        <f t="shared" si="168"/>
        <v>1</v>
      </c>
      <c r="S280" s="120">
        <f t="shared" si="168"/>
        <v>1</v>
      </c>
      <c r="T280" s="120">
        <f t="shared" si="168"/>
        <v>0</v>
      </c>
      <c r="U280" s="120">
        <f t="shared" si="168"/>
        <v>0</v>
      </c>
      <c r="V280" s="120">
        <f t="shared" si="168"/>
        <v>0</v>
      </c>
      <c r="W280" s="120">
        <f t="shared" si="168"/>
        <v>0</v>
      </c>
      <c r="X280" s="120">
        <f t="shared" si="168"/>
        <v>0</v>
      </c>
      <c r="Y280" s="120">
        <f t="shared" si="168"/>
        <v>0</v>
      </c>
      <c r="AA280" s="120">
        <f t="shared" ref="AA280:AP295" si="169">IF(B280=0,0,B280/AA16)</f>
        <v>0</v>
      </c>
      <c r="AB280" s="120">
        <f t="shared" si="169"/>
        <v>1</v>
      </c>
      <c r="AC280" s="120">
        <f t="shared" si="169"/>
        <v>1</v>
      </c>
      <c r="AD280" s="120">
        <f t="shared" si="169"/>
        <v>1</v>
      </c>
      <c r="AE280" s="120">
        <f t="shared" si="169"/>
        <v>1</v>
      </c>
      <c r="AF280" s="120">
        <f t="shared" si="169"/>
        <v>1</v>
      </c>
      <c r="AG280" s="120">
        <f t="shared" si="169"/>
        <v>1</v>
      </c>
      <c r="AH280" s="120">
        <f t="shared" si="169"/>
        <v>1</v>
      </c>
      <c r="AI280" s="120">
        <f t="shared" si="169"/>
        <v>1</v>
      </c>
      <c r="AJ280" s="120">
        <f t="shared" si="169"/>
        <v>0</v>
      </c>
      <c r="AK280" s="120">
        <f t="shared" si="169"/>
        <v>1</v>
      </c>
      <c r="AL280" s="120">
        <f t="shared" si="169"/>
        <v>1</v>
      </c>
      <c r="AM280" s="120">
        <f t="shared" si="169"/>
        <v>1</v>
      </c>
      <c r="AN280" s="120">
        <f t="shared" si="169"/>
        <v>1</v>
      </c>
      <c r="AO280" s="120">
        <f t="shared" si="169"/>
        <v>1</v>
      </c>
      <c r="AP280" s="120">
        <f t="shared" si="167"/>
        <v>1</v>
      </c>
      <c r="AQ280" s="120">
        <f t="shared" si="167"/>
        <v>1</v>
      </c>
      <c r="AR280" s="120">
        <f t="shared" si="167"/>
        <v>1</v>
      </c>
      <c r="AS280" s="120">
        <f t="shared" si="167"/>
        <v>0</v>
      </c>
      <c r="AT280" s="120">
        <f t="shared" si="167"/>
        <v>0</v>
      </c>
      <c r="AU280" s="120">
        <f t="shared" si="167"/>
        <v>0</v>
      </c>
      <c r="AV280" s="120">
        <f t="shared" si="167"/>
        <v>0</v>
      </c>
      <c r="AW280" s="120">
        <f t="shared" si="167"/>
        <v>0</v>
      </c>
      <c r="AX280" s="120">
        <f t="shared" si="167"/>
        <v>0</v>
      </c>
      <c r="AY280" s="120">
        <f t="shared" si="165"/>
        <v>16</v>
      </c>
      <c r="AZ280" s="20" t="s">
        <v>138</v>
      </c>
    </row>
    <row r="281" spans="1:52">
      <c r="A281" s="120" t="s">
        <v>155</v>
      </c>
      <c r="B281" s="120">
        <f t="shared" ref="B281:Y291" si="170">IF(IFERROR(FIND($A$268,B17,1),0)=0,0,1)</f>
        <v>0</v>
      </c>
      <c r="C281" s="120">
        <f t="shared" si="170"/>
        <v>1</v>
      </c>
      <c r="D281" s="120">
        <f t="shared" si="170"/>
        <v>0</v>
      </c>
      <c r="E281" s="120">
        <f t="shared" si="170"/>
        <v>1</v>
      </c>
      <c r="F281" s="120">
        <f t="shared" si="170"/>
        <v>1</v>
      </c>
      <c r="G281" s="120">
        <f t="shared" si="170"/>
        <v>1</v>
      </c>
      <c r="H281" s="120">
        <f t="shared" si="170"/>
        <v>0</v>
      </c>
      <c r="I281" s="120">
        <f t="shared" si="170"/>
        <v>0</v>
      </c>
      <c r="J281" s="120">
        <f t="shared" si="170"/>
        <v>0</v>
      </c>
      <c r="K281" s="120">
        <f t="shared" si="170"/>
        <v>0</v>
      </c>
      <c r="L281" s="120">
        <f t="shared" si="170"/>
        <v>0</v>
      </c>
      <c r="M281" s="120">
        <f t="shared" si="170"/>
        <v>0</v>
      </c>
      <c r="N281" s="120">
        <f t="shared" si="170"/>
        <v>0</v>
      </c>
      <c r="O281" s="120">
        <f t="shared" si="170"/>
        <v>1</v>
      </c>
      <c r="P281" s="120">
        <f t="shared" si="170"/>
        <v>0</v>
      </c>
      <c r="Q281" s="120">
        <f t="shared" si="170"/>
        <v>0</v>
      </c>
      <c r="R281" s="120">
        <f t="shared" si="170"/>
        <v>0</v>
      </c>
      <c r="S281" s="120">
        <f t="shared" si="170"/>
        <v>0</v>
      </c>
      <c r="T281" s="120">
        <f t="shared" si="170"/>
        <v>1</v>
      </c>
      <c r="U281" s="120">
        <f t="shared" si="170"/>
        <v>0</v>
      </c>
      <c r="V281" s="120">
        <f t="shared" si="170"/>
        <v>0</v>
      </c>
      <c r="W281" s="120">
        <f t="shared" si="170"/>
        <v>0</v>
      </c>
      <c r="X281" s="120">
        <f t="shared" si="170"/>
        <v>0</v>
      </c>
      <c r="Y281" s="120">
        <f t="shared" si="170"/>
        <v>1</v>
      </c>
      <c r="AA281" s="120">
        <f t="shared" si="169"/>
        <v>0</v>
      </c>
      <c r="AB281" s="120">
        <f t="shared" si="169"/>
        <v>1</v>
      </c>
      <c r="AC281" s="120">
        <f t="shared" si="169"/>
        <v>0</v>
      </c>
      <c r="AD281" s="120">
        <f t="shared" si="169"/>
        <v>1</v>
      </c>
      <c r="AE281" s="120">
        <f t="shared" si="169"/>
        <v>1</v>
      </c>
      <c r="AF281" s="120">
        <f t="shared" si="169"/>
        <v>1</v>
      </c>
      <c r="AG281" s="120">
        <f t="shared" si="169"/>
        <v>0</v>
      </c>
      <c r="AH281" s="120">
        <f t="shared" si="169"/>
        <v>0</v>
      </c>
      <c r="AI281" s="120">
        <f t="shared" si="169"/>
        <v>0</v>
      </c>
      <c r="AJ281" s="120">
        <f t="shared" si="169"/>
        <v>0</v>
      </c>
      <c r="AK281" s="120">
        <f t="shared" si="169"/>
        <v>0</v>
      </c>
      <c r="AL281" s="120">
        <f t="shared" si="169"/>
        <v>0</v>
      </c>
      <c r="AM281" s="120">
        <f t="shared" si="169"/>
        <v>0</v>
      </c>
      <c r="AN281" s="120">
        <f t="shared" si="169"/>
        <v>1</v>
      </c>
      <c r="AO281" s="120">
        <f t="shared" si="169"/>
        <v>0</v>
      </c>
      <c r="AP281" s="120">
        <f t="shared" si="167"/>
        <v>0</v>
      </c>
      <c r="AQ281" s="120">
        <f t="shared" si="167"/>
        <v>0</v>
      </c>
      <c r="AR281" s="120">
        <f t="shared" si="167"/>
        <v>0</v>
      </c>
      <c r="AS281" s="120">
        <f t="shared" si="167"/>
        <v>1</v>
      </c>
      <c r="AT281" s="120">
        <f t="shared" si="167"/>
        <v>0</v>
      </c>
      <c r="AU281" s="120">
        <f t="shared" si="167"/>
        <v>0</v>
      </c>
      <c r="AV281" s="120">
        <f t="shared" si="167"/>
        <v>0</v>
      </c>
      <c r="AW281" s="120">
        <f t="shared" si="167"/>
        <v>0</v>
      </c>
      <c r="AX281" s="120">
        <f t="shared" si="167"/>
        <v>1</v>
      </c>
      <c r="AY281" s="120">
        <f t="shared" si="165"/>
        <v>7</v>
      </c>
      <c r="AZ281" s="20" t="s">
        <v>138</v>
      </c>
    </row>
    <row r="282" spans="1:52">
      <c r="A282" s="120" t="s">
        <v>156</v>
      </c>
      <c r="B282" s="120">
        <f t="shared" si="170"/>
        <v>0</v>
      </c>
      <c r="C282" s="120">
        <f t="shared" si="170"/>
        <v>0</v>
      </c>
      <c r="D282" s="120">
        <f t="shared" si="170"/>
        <v>0</v>
      </c>
      <c r="E282" s="120">
        <f t="shared" si="170"/>
        <v>0</v>
      </c>
      <c r="F282" s="120">
        <f t="shared" si="170"/>
        <v>1</v>
      </c>
      <c r="G282" s="120">
        <f t="shared" si="170"/>
        <v>0</v>
      </c>
      <c r="H282" s="120">
        <f t="shared" si="170"/>
        <v>0</v>
      </c>
      <c r="I282" s="120">
        <f t="shared" si="170"/>
        <v>0</v>
      </c>
      <c r="J282" s="120">
        <f t="shared" si="170"/>
        <v>1</v>
      </c>
      <c r="K282" s="120">
        <f t="shared" si="170"/>
        <v>0</v>
      </c>
      <c r="L282" s="120">
        <f t="shared" si="170"/>
        <v>0</v>
      </c>
      <c r="M282" s="120">
        <f t="shared" si="170"/>
        <v>0</v>
      </c>
      <c r="N282" s="120">
        <f t="shared" si="170"/>
        <v>0</v>
      </c>
      <c r="O282" s="120">
        <f t="shared" si="170"/>
        <v>1</v>
      </c>
      <c r="P282" s="120">
        <f t="shared" si="170"/>
        <v>0</v>
      </c>
      <c r="Q282" s="120">
        <f t="shared" si="170"/>
        <v>0</v>
      </c>
      <c r="R282" s="120">
        <f t="shared" si="170"/>
        <v>0</v>
      </c>
      <c r="S282" s="120">
        <f t="shared" si="170"/>
        <v>1</v>
      </c>
      <c r="T282" s="120">
        <f t="shared" si="170"/>
        <v>0</v>
      </c>
      <c r="U282" s="120">
        <f t="shared" si="170"/>
        <v>1</v>
      </c>
      <c r="V282" s="120">
        <f t="shared" si="170"/>
        <v>0</v>
      </c>
      <c r="W282" s="120">
        <f t="shared" si="170"/>
        <v>1</v>
      </c>
      <c r="X282" s="120">
        <f t="shared" si="170"/>
        <v>0</v>
      </c>
      <c r="Y282" s="120">
        <f t="shared" si="170"/>
        <v>0</v>
      </c>
      <c r="AA282" s="120">
        <f t="shared" si="169"/>
        <v>0</v>
      </c>
      <c r="AB282" s="120">
        <f t="shared" si="169"/>
        <v>0</v>
      </c>
      <c r="AC282" s="120">
        <f t="shared" si="169"/>
        <v>0</v>
      </c>
      <c r="AD282" s="120">
        <f t="shared" si="169"/>
        <v>0</v>
      </c>
      <c r="AE282" s="120">
        <f t="shared" si="169"/>
        <v>1</v>
      </c>
      <c r="AF282" s="120">
        <f t="shared" si="169"/>
        <v>0</v>
      </c>
      <c r="AG282" s="120">
        <f t="shared" si="169"/>
        <v>0</v>
      </c>
      <c r="AH282" s="120">
        <f t="shared" si="169"/>
        <v>0</v>
      </c>
      <c r="AI282" s="120">
        <f t="shared" si="169"/>
        <v>1</v>
      </c>
      <c r="AJ282" s="120">
        <f t="shared" si="169"/>
        <v>0</v>
      </c>
      <c r="AK282" s="120">
        <f t="shared" si="169"/>
        <v>0</v>
      </c>
      <c r="AL282" s="120">
        <f t="shared" si="169"/>
        <v>0</v>
      </c>
      <c r="AM282" s="120">
        <f t="shared" si="169"/>
        <v>0</v>
      </c>
      <c r="AN282" s="120">
        <f t="shared" si="169"/>
        <v>1</v>
      </c>
      <c r="AO282" s="120">
        <f t="shared" si="169"/>
        <v>0</v>
      </c>
      <c r="AP282" s="120">
        <f t="shared" si="167"/>
        <v>0</v>
      </c>
      <c r="AQ282" s="120">
        <f t="shared" si="167"/>
        <v>0</v>
      </c>
      <c r="AR282" s="120">
        <f t="shared" si="167"/>
        <v>1</v>
      </c>
      <c r="AS282" s="120">
        <f t="shared" si="167"/>
        <v>0</v>
      </c>
      <c r="AT282" s="120">
        <f t="shared" si="167"/>
        <v>1</v>
      </c>
      <c r="AU282" s="120">
        <f t="shared" si="167"/>
        <v>0</v>
      </c>
      <c r="AV282" s="120">
        <f t="shared" si="167"/>
        <v>1</v>
      </c>
      <c r="AW282" s="120">
        <f t="shared" si="167"/>
        <v>0</v>
      </c>
      <c r="AX282" s="120">
        <f t="shared" si="167"/>
        <v>0</v>
      </c>
      <c r="AY282" s="120">
        <f t="shared" si="165"/>
        <v>6</v>
      </c>
      <c r="AZ282" s="20" t="s">
        <v>138</v>
      </c>
    </row>
    <row r="283" spans="1:52">
      <c r="A283" s="120" t="s">
        <v>157</v>
      </c>
      <c r="B283" s="120">
        <f t="shared" si="170"/>
        <v>0</v>
      </c>
      <c r="C283" s="120">
        <f t="shared" si="170"/>
        <v>0</v>
      </c>
      <c r="D283" s="120">
        <f t="shared" si="170"/>
        <v>1</v>
      </c>
      <c r="E283" s="120">
        <f t="shared" si="170"/>
        <v>0</v>
      </c>
      <c r="F283" s="120">
        <f t="shared" si="170"/>
        <v>0</v>
      </c>
      <c r="G283" s="120">
        <f t="shared" si="170"/>
        <v>0</v>
      </c>
      <c r="H283" s="120">
        <f t="shared" si="170"/>
        <v>0</v>
      </c>
      <c r="I283" s="120">
        <f t="shared" si="170"/>
        <v>0</v>
      </c>
      <c r="J283" s="120">
        <f t="shared" si="170"/>
        <v>0</v>
      </c>
      <c r="K283" s="120">
        <f t="shared" si="170"/>
        <v>1</v>
      </c>
      <c r="L283" s="120">
        <f t="shared" si="170"/>
        <v>1</v>
      </c>
      <c r="M283" s="120">
        <f t="shared" si="170"/>
        <v>1</v>
      </c>
      <c r="N283" s="120">
        <f t="shared" si="170"/>
        <v>1</v>
      </c>
      <c r="O283" s="120">
        <f t="shared" si="170"/>
        <v>0</v>
      </c>
      <c r="P283" s="120">
        <f t="shared" si="170"/>
        <v>0</v>
      </c>
      <c r="Q283" s="120">
        <f t="shared" si="170"/>
        <v>0</v>
      </c>
      <c r="R283" s="120">
        <f t="shared" si="170"/>
        <v>0</v>
      </c>
      <c r="S283" s="120">
        <f t="shared" si="170"/>
        <v>0</v>
      </c>
      <c r="T283" s="120">
        <f t="shared" si="170"/>
        <v>0</v>
      </c>
      <c r="U283" s="120">
        <f t="shared" si="170"/>
        <v>0</v>
      </c>
      <c r="V283" s="120">
        <f t="shared" si="170"/>
        <v>0</v>
      </c>
      <c r="W283" s="120">
        <f t="shared" si="170"/>
        <v>0</v>
      </c>
      <c r="X283" s="120">
        <f t="shared" si="170"/>
        <v>0</v>
      </c>
      <c r="Y283" s="120">
        <f t="shared" si="170"/>
        <v>0</v>
      </c>
      <c r="AA283" s="120">
        <f t="shared" si="169"/>
        <v>0</v>
      </c>
      <c r="AB283" s="120">
        <f t="shared" si="169"/>
        <v>0</v>
      </c>
      <c r="AC283" s="120">
        <f t="shared" si="169"/>
        <v>1</v>
      </c>
      <c r="AD283" s="120">
        <f t="shared" si="169"/>
        <v>0</v>
      </c>
      <c r="AE283" s="120">
        <f t="shared" si="169"/>
        <v>0</v>
      </c>
      <c r="AF283" s="120">
        <f t="shared" si="169"/>
        <v>0</v>
      </c>
      <c r="AG283" s="120">
        <f t="shared" si="169"/>
        <v>0</v>
      </c>
      <c r="AH283" s="120">
        <f t="shared" si="169"/>
        <v>0</v>
      </c>
      <c r="AI283" s="120">
        <f t="shared" si="169"/>
        <v>0</v>
      </c>
      <c r="AJ283" s="120">
        <f t="shared" si="169"/>
        <v>0.33333333333333331</v>
      </c>
      <c r="AK283" s="120">
        <f t="shared" si="169"/>
        <v>1</v>
      </c>
      <c r="AL283" s="120">
        <f t="shared" si="169"/>
        <v>1</v>
      </c>
      <c r="AM283" s="120">
        <f t="shared" si="169"/>
        <v>1</v>
      </c>
      <c r="AN283" s="120">
        <f t="shared" si="169"/>
        <v>0</v>
      </c>
      <c r="AO283" s="120">
        <f t="shared" si="169"/>
        <v>0</v>
      </c>
      <c r="AP283" s="120">
        <f t="shared" si="167"/>
        <v>0</v>
      </c>
      <c r="AQ283" s="120">
        <f t="shared" si="167"/>
        <v>0</v>
      </c>
      <c r="AR283" s="120">
        <f t="shared" si="167"/>
        <v>0</v>
      </c>
      <c r="AS283" s="120">
        <f t="shared" si="167"/>
        <v>0</v>
      </c>
      <c r="AT283" s="120">
        <f t="shared" si="167"/>
        <v>0</v>
      </c>
      <c r="AU283" s="120">
        <f t="shared" si="167"/>
        <v>0</v>
      </c>
      <c r="AV283" s="120">
        <f t="shared" si="167"/>
        <v>0</v>
      </c>
      <c r="AW283" s="120">
        <f t="shared" si="167"/>
        <v>0</v>
      </c>
      <c r="AX283" s="120">
        <f t="shared" si="167"/>
        <v>0</v>
      </c>
      <c r="AY283" s="120">
        <f t="shared" si="165"/>
        <v>4.333333333333333</v>
      </c>
      <c r="AZ283" s="20" t="s">
        <v>138</v>
      </c>
    </row>
    <row r="284" spans="1:52">
      <c r="A284" s="120" t="s">
        <v>158</v>
      </c>
      <c r="B284" s="120">
        <f t="shared" si="170"/>
        <v>0</v>
      </c>
      <c r="C284" s="120">
        <f t="shared" si="170"/>
        <v>0</v>
      </c>
      <c r="D284" s="120">
        <f t="shared" si="170"/>
        <v>1</v>
      </c>
      <c r="E284" s="120">
        <f t="shared" si="170"/>
        <v>1</v>
      </c>
      <c r="F284" s="120">
        <f t="shared" si="170"/>
        <v>1</v>
      </c>
      <c r="G284" s="120">
        <f t="shared" si="170"/>
        <v>0</v>
      </c>
      <c r="H284" s="120">
        <f t="shared" si="170"/>
        <v>0</v>
      </c>
      <c r="I284" s="120">
        <f t="shared" si="170"/>
        <v>0</v>
      </c>
      <c r="J284" s="120">
        <f t="shared" si="170"/>
        <v>0</v>
      </c>
      <c r="K284" s="120">
        <f t="shared" si="170"/>
        <v>0</v>
      </c>
      <c r="L284" s="120">
        <f t="shared" si="170"/>
        <v>0</v>
      </c>
      <c r="M284" s="120">
        <f t="shared" si="170"/>
        <v>1</v>
      </c>
      <c r="N284" s="120">
        <f t="shared" si="170"/>
        <v>1</v>
      </c>
      <c r="O284" s="120">
        <f t="shared" si="170"/>
        <v>1</v>
      </c>
      <c r="P284" s="120">
        <f t="shared" si="170"/>
        <v>0</v>
      </c>
      <c r="Q284" s="120">
        <f t="shared" si="170"/>
        <v>1</v>
      </c>
      <c r="R284" s="120">
        <f t="shared" si="170"/>
        <v>0</v>
      </c>
      <c r="S284" s="120">
        <f t="shared" si="170"/>
        <v>0</v>
      </c>
      <c r="T284" s="120">
        <f t="shared" si="170"/>
        <v>0</v>
      </c>
      <c r="U284" s="120">
        <f t="shared" si="170"/>
        <v>0</v>
      </c>
      <c r="V284" s="120">
        <f t="shared" si="170"/>
        <v>0</v>
      </c>
      <c r="W284" s="120">
        <f t="shared" si="170"/>
        <v>0</v>
      </c>
      <c r="X284" s="120">
        <f t="shared" si="170"/>
        <v>1</v>
      </c>
      <c r="Y284" s="120">
        <f t="shared" si="170"/>
        <v>0</v>
      </c>
      <c r="AA284" s="120">
        <f t="shared" si="169"/>
        <v>0</v>
      </c>
      <c r="AB284" s="120">
        <f t="shared" si="169"/>
        <v>0</v>
      </c>
      <c r="AC284" s="120">
        <f t="shared" si="169"/>
        <v>1</v>
      </c>
      <c r="AD284" s="120">
        <f t="shared" si="169"/>
        <v>1</v>
      </c>
      <c r="AE284" s="120">
        <f t="shared" si="169"/>
        <v>1</v>
      </c>
      <c r="AF284" s="120">
        <f t="shared" si="169"/>
        <v>0</v>
      </c>
      <c r="AG284" s="120">
        <f t="shared" si="169"/>
        <v>0</v>
      </c>
      <c r="AH284" s="120">
        <f t="shared" si="169"/>
        <v>0</v>
      </c>
      <c r="AI284" s="120">
        <f t="shared" si="169"/>
        <v>0</v>
      </c>
      <c r="AJ284" s="120">
        <f t="shared" si="169"/>
        <v>0</v>
      </c>
      <c r="AK284" s="120">
        <f t="shared" si="169"/>
        <v>0</v>
      </c>
      <c r="AL284" s="120">
        <f t="shared" si="169"/>
        <v>1</v>
      </c>
      <c r="AM284" s="120">
        <f t="shared" si="169"/>
        <v>1</v>
      </c>
      <c r="AN284" s="120">
        <f t="shared" si="169"/>
        <v>1</v>
      </c>
      <c r="AO284" s="120">
        <f t="shared" si="169"/>
        <v>0</v>
      </c>
      <c r="AP284" s="120">
        <f t="shared" si="167"/>
        <v>1</v>
      </c>
      <c r="AQ284" s="120">
        <f t="shared" si="167"/>
        <v>0</v>
      </c>
      <c r="AR284" s="120">
        <f t="shared" si="167"/>
        <v>0</v>
      </c>
      <c r="AS284" s="120">
        <f t="shared" si="167"/>
        <v>0</v>
      </c>
      <c r="AT284" s="120">
        <f t="shared" si="167"/>
        <v>0</v>
      </c>
      <c r="AU284" s="120">
        <f t="shared" si="167"/>
        <v>0</v>
      </c>
      <c r="AV284" s="120">
        <f t="shared" si="167"/>
        <v>0</v>
      </c>
      <c r="AW284" s="120">
        <f t="shared" si="167"/>
        <v>1</v>
      </c>
      <c r="AX284" s="120">
        <f t="shared" si="167"/>
        <v>0</v>
      </c>
      <c r="AY284" s="120">
        <f t="shared" si="165"/>
        <v>8</v>
      </c>
      <c r="AZ284" s="20" t="s">
        <v>138</v>
      </c>
    </row>
    <row r="285" spans="1:52">
      <c r="A285" s="120" t="s">
        <v>159</v>
      </c>
      <c r="B285" s="120">
        <f t="shared" si="170"/>
        <v>0</v>
      </c>
      <c r="C285" s="120">
        <f t="shared" si="170"/>
        <v>0</v>
      </c>
      <c r="D285" s="120">
        <f t="shared" si="170"/>
        <v>0</v>
      </c>
      <c r="E285" s="120">
        <f t="shared" si="170"/>
        <v>0</v>
      </c>
      <c r="F285" s="120">
        <f t="shared" si="170"/>
        <v>0</v>
      </c>
      <c r="G285" s="120">
        <f t="shared" si="170"/>
        <v>0</v>
      </c>
      <c r="H285" s="120">
        <f t="shared" si="170"/>
        <v>0</v>
      </c>
      <c r="I285" s="120">
        <f t="shared" si="170"/>
        <v>0</v>
      </c>
      <c r="J285" s="120">
        <f t="shared" si="170"/>
        <v>0</v>
      </c>
      <c r="K285" s="120">
        <f t="shared" si="170"/>
        <v>0</v>
      </c>
      <c r="L285" s="120">
        <f t="shared" si="170"/>
        <v>0</v>
      </c>
      <c r="M285" s="120">
        <f t="shared" si="170"/>
        <v>0</v>
      </c>
      <c r="N285" s="120">
        <f t="shared" si="170"/>
        <v>0</v>
      </c>
      <c r="O285" s="120">
        <f t="shared" si="170"/>
        <v>1</v>
      </c>
      <c r="P285" s="120">
        <f t="shared" si="170"/>
        <v>0</v>
      </c>
      <c r="Q285" s="120">
        <f t="shared" si="170"/>
        <v>1</v>
      </c>
      <c r="R285" s="120">
        <f t="shared" si="170"/>
        <v>0</v>
      </c>
      <c r="S285" s="120">
        <f t="shared" si="170"/>
        <v>0</v>
      </c>
      <c r="T285" s="120">
        <f t="shared" si="170"/>
        <v>0</v>
      </c>
      <c r="U285" s="120">
        <f t="shared" si="170"/>
        <v>0</v>
      </c>
      <c r="V285" s="120">
        <f t="shared" si="170"/>
        <v>1</v>
      </c>
      <c r="W285" s="120">
        <f t="shared" si="170"/>
        <v>0</v>
      </c>
      <c r="X285" s="120">
        <f t="shared" si="170"/>
        <v>0</v>
      </c>
      <c r="Y285" s="120">
        <f t="shared" si="170"/>
        <v>0</v>
      </c>
      <c r="AA285" s="120">
        <f t="shared" si="169"/>
        <v>0</v>
      </c>
      <c r="AB285" s="120">
        <f t="shared" si="169"/>
        <v>0</v>
      </c>
      <c r="AC285" s="120">
        <f t="shared" si="169"/>
        <v>0</v>
      </c>
      <c r="AD285" s="120">
        <f t="shared" si="169"/>
        <v>0</v>
      </c>
      <c r="AE285" s="120">
        <f t="shared" si="169"/>
        <v>0</v>
      </c>
      <c r="AF285" s="120">
        <f t="shared" si="169"/>
        <v>0</v>
      </c>
      <c r="AG285" s="120">
        <f t="shared" si="169"/>
        <v>0</v>
      </c>
      <c r="AH285" s="120">
        <f t="shared" si="169"/>
        <v>0</v>
      </c>
      <c r="AI285" s="120">
        <f t="shared" si="169"/>
        <v>0</v>
      </c>
      <c r="AJ285" s="120">
        <f t="shared" si="169"/>
        <v>0</v>
      </c>
      <c r="AK285" s="120">
        <f t="shared" si="169"/>
        <v>0</v>
      </c>
      <c r="AL285" s="120">
        <f t="shared" si="169"/>
        <v>0</v>
      </c>
      <c r="AM285" s="120">
        <f t="shared" si="169"/>
        <v>0</v>
      </c>
      <c r="AN285" s="120">
        <f t="shared" si="169"/>
        <v>1</v>
      </c>
      <c r="AO285" s="120">
        <f t="shared" si="169"/>
        <v>0</v>
      </c>
      <c r="AP285" s="120">
        <f t="shared" si="167"/>
        <v>0.5</v>
      </c>
      <c r="AQ285" s="120">
        <f t="shared" si="167"/>
        <v>0</v>
      </c>
      <c r="AR285" s="120">
        <f t="shared" si="167"/>
        <v>0</v>
      </c>
      <c r="AS285" s="120">
        <f t="shared" si="167"/>
        <v>0</v>
      </c>
      <c r="AT285" s="120">
        <f t="shared" si="167"/>
        <v>0</v>
      </c>
      <c r="AU285" s="120">
        <f t="shared" si="167"/>
        <v>1</v>
      </c>
      <c r="AV285" s="120">
        <f t="shared" si="167"/>
        <v>0</v>
      </c>
      <c r="AW285" s="120">
        <f t="shared" si="167"/>
        <v>0</v>
      </c>
      <c r="AX285" s="120">
        <f t="shared" si="167"/>
        <v>0</v>
      </c>
      <c r="AY285" s="120">
        <f t="shared" si="165"/>
        <v>2.5</v>
      </c>
      <c r="AZ285" s="20" t="s">
        <v>138</v>
      </c>
    </row>
    <row r="286" spans="1:52">
      <c r="A286" s="120" t="s">
        <v>160</v>
      </c>
      <c r="B286" s="120">
        <f t="shared" si="170"/>
        <v>0</v>
      </c>
      <c r="C286" s="120">
        <f t="shared" si="170"/>
        <v>0</v>
      </c>
      <c r="D286" s="120">
        <f t="shared" si="170"/>
        <v>0</v>
      </c>
      <c r="E286" s="120">
        <f t="shared" si="170"/>
        <v>0</v>
      </c>
      <c r="F286" s="120">
        <f t="shared" si="170"/>
        <v>0</v>
      </c>
      <c r="G286" s="120">
        <f t="shared" si="170"/>
        <v>0</v>
      </c>
      <c r="H286" s="120">
        <f t="shared" si="170"/>
        <v>0</v>
      </c>
      <c r="I286" s="120">
        <f t="shared" si="170"/>
        <v>0</v>
      </c>
      <c r="J286" s="120">
        <f t="shared" si="170"/>
        <v>0</v>
      </c>
      <c r="K286" s="120">
        <f t="shared" si="170"/>
        <v>0</v>
      </c>
      <c r="L286" s="120">
        <f t="shared" si="170"/>
        <v>1</v>
      </c>
      <c r="M286" s="120">
        <f t="shared" si="170"/>
        <v>0</v>
      </c>
      <c r="N286" s="120">
        <f t="shared" si="170"/>
        <v>0</v>
      </c>
      <c r="O286" s="120">
        <f t="shared" si="170"/>
        <v>0</v>
      </c>
      <c r="P286" s="120">
        <f t="shared" si="170"/>
        <v>0</v>
      </c>
      <c r="Q286" s="120">
        <f t="shared" si="170"/>
        <v>0</v>
      </c>
      <c r="R286" s="120">
        <f t="shared" si="170"/>
        <v>0</v>
      </c>
      <c r="S286" s="120">
        <f t="shared" si="170"/>
        <v>0</v>
      </c>
      <c r="T286" s="120">
        <f t="shared" si="170"/>
        <v>0</v>
      </c>
      <c r="U286" s="120">
        <f t="shared" si="170"/>
        <v>0</v>
      </c>
      <c r="V286" s="120">
        <f t="shared" si="170"/>
        <v>0</v>
      </c>
      <c r="W286" s="120">
        <f t="shared" si="170"/>
        <v>0</v>
      </c>
      <c r="X286" s="120">
        <f t="shared" si="170"/>
        <v>0</v>
      </c>
      <c r="Y286" s="120">
        <f t="shared" si="170"/>
        <v>0</v>
      </c>
      <c r="AA286" s="120">
        <f t="shared" si="169"/>
        <v>0</v>
      </c>
      <c r="AB286" s="120">
        <f t="shared" si="169"/>
        <v>0</v>
      </c>
      <c r="AC286" s="120">
        <f t="shared" si="169"/>
        <v>0</v>
      </c>
      <c r="AD286" s="120">
        <f t="shared" si="169"/>
        <v>0</v>
      </c>
      <c r="AE286" s="120">
        <f t="shared" si="169"/>
        <v>0</v>
      </c>
      <c r="AF286" s="120">
        <f t="shared" si="169"/>
        <v>0</v>
      </c>
      <c r="AG286" s="120">
        <f t="shared" si="169"/>
        <v>0</v>
      </c>
      <c r="AH286" s="120">
        <f t="shared" si="169"/>
        <v>0</v>
      </c>
      <c r="AI286" s="120">
        <f t="shared" si="169"/>
        <v>0</v>
      </c>
      <c r="AJ286" s="120">
        <f t="shared" si="169"/>
        <v>0</v>
      </c>
      <c r="AK286" s="120">
        <f t="shared" si="169"/>
        <v>1</v>
      </c>
      <c r="AL286" s="120">
        <f t="shared" si="169"/>
        <v>0</v>
      </c>
      <c r="AM286" s="120">
        <f t="shared" si="169"/>
        <v>0</v>
      </c>
      <c r="AN286" s="120">
        <f t="shared" si="169"/>
        <v>0</v>
      </c>
      <c r="AO286" s="120">
        <f t="shared" si="169"/>
        <v>0</v>
      </c>
      <c r="AP286" s="120">
        <f t="shared" si="167"/>
        <v>0</v>
      </c>
      <c r="AQ286" s="120">
        <f t="shared" si="167"/>
        <v>0</v>
      </c>
      <c r="AR286" s="120">
        <f t="shared" si="167"/>
        <v>0</v>
      </c>
      <c r="AS286" s="120">
        <f t="shared" si="167"/>
        <v>0</v>
      </c>
      <c r="AT286" s="120">
        <f t="shared" si="167"/>
        <v>0</v>
      </c>
      <c r="AU286" s="120">
        <f t="shared" si="167"/>
        <v>0</v>
      </c>
      <c r="AV286" s="120">
        <f t="shared" si="167"/>
        <v>0</v>
      </c>
      <c r="AW286" s="120">
        <f t="shared" si="167"/>
        <v>0</v>
      </c>
      <c r="AX286" s="120">
        <f t="shared" si="167"/>
        <v>0</v>
      </c>
      <c r="AY286" s="120">
        <f t="shared" si="165"/>
        <v>1</v>
      </c>
      <c r="AZ286" s="20" t="s">
        <v>138</v>
      </c>
    </row>
    <row r="287" spans="1:52">
      <c r="A287" s="120" t="s">
        <v>161</v>
      </c>
      <c r="B287" s="120">
        <f t="shared" si="170"/>
        <v>0</v>
      </c>
      <c r="C287" s="120">
        <f t="shared" si="170"/>
        <v>0</v>
      </c>
      <c r="D287" s="120">
        <f t="shared" si="170"/>
        <v>0</v>
      </c>
      <c r="E287" s="120">
        <f t="shared" si="170"/>
        <v>0</v>
      </c>
      <c r="F287" s="120">
        <f t="shared" si="170"/>
        <v>0</v>
      </c>
      <c r="G287" s="120">
        <f t="shared" si="170"/>
        <v>0</v>
      </c>
      <c r="H287" s="120">
        <f t="shared" si="170"/>
        <v>0</v>
      </c>
      <c r="I287" s="120">
        <f t="shared" si="170"/>
        <v>0</v>
      </c>
      <c r="J287" s="120">
        <f t="shared" si="170"/>
        <v>0</v>
      </c>
      <c r="K287" s="120">
        <f t="shared" si="170"/>
        <v>0</v>
      </c>
      <c r="L287" s="120">
        <f t="shared" si="170"/>
        <v>0</v>
      </c>
      <c r="M287" s="120">
        <f t="shared" si="170"/>
        <v>0</v>
      </c>
      <c r="N287" s="120">
        <f t="shared" si="170"/>
        <v>1</v>
      </c>
      <c r="O287" s="120">
        <f t="shared" si="170"/>
        <v>1</v>
      </c>
      <c r="P287" s="120">
        <f t="shared" si="170"/>
        <v>1</v>
      </c>
      <c r="Q287" s="120">
        <f t="shared" si="170"/>
        <v>1</v>
      </c>
      <c r="R287" s="120">
        <f t="shared" si="170"/>
        <v>1</v>
      </c>
      <c r="S287" s="120">
        <f t="shared" si="170"/>
        <v>0</v>
      </c>
      <c r="T287" s="120">
        <f t="shared" si="170"/>
        <v>0</v>
      </c>
      <c r="U287" s="120">
        <f t="shared" si="170"/>
        <v>0</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0</v>
      </c>
      <c r="AG287" s="120">
        <f t="shared" si="169"/>
        <v>0</v>
      </c>
      <c r="AH287" s="120">
        <f t="shared" si="169"/>
        <v>0</v>
      </c>
      <c r="AI287" s="120">
        <f t="shared" si="169"/>
        <v>0</v>
      </c>
      <c r="AJ287" s="120">
        <f t="shared" si="169"/>
        <v>0</v>
      </c>
      <c r="AK287" s="120">
        <f t="shared" si="169"/>
        <v>0</v>
      </c>
      <c r="AL287" s="120">
        <f t="shared" si="169"/>
        <v>0</v>
      </c>
      <c r="AM287" s="120">
        <f t="shared" si="169"/>
        <v>1</v>
      </c>
      <c r="AN287" s="120">
        <f t="shared" si="169"/>
        <v>1</v>
      </c>
      <c r="AO287" s="120">
        <f t="shared" si="169"/>
        <v>1</v>
      </c>
      <c r="AP287" s="120">
        <f t="shared" si="167"/>
        <v>1</v>
      </c>
      <c r="AQ287" s="120">
        <f t="shared" si="167"/>
        <v>1</v>
      </c>
      <c r="AR287" s="120">
        <f t="shared" si="167"/>
        <v>0</v>
      </c>
      <c r="AS287" s="120">
        <f t="shared" si="167"/>
        <v>0</v>
      </c>
      <c r="AT287" s="120">
        <f t="shared" si="167"/>
        <v>0</v>
      </c>
      <c r="AU287" s="120">
        <f t="shared" si="167"/>
        <v>0</v>
      </c>
      <c r="AV287" s="120">
        <f t="shared" si="167"/>
        <v>0</v>
      </c>
      <c r="AW287" s="120">
        <f t="shared" si="167"/>
        <v>0</v>
      </c>
      <c r="AX287" s="120">
        <f t="shared" si="167"/>
        <v>0</v>
      </c>
      <c r="AY287" s="120">
        <f t="shared" si="165"/>
        <v>5</v>
      </c>
      <c r="AZ287" s="20" t="s">
        <v>138</v>
      </c>
    </row>
    <row r="288" spans="1:52">
      <c r="A288" s="120" t="s">
        <v>162</v>
      </c>
      <c r="B288" s="120">
        <f t="shared" si="170"/>
        <v>0</v>
      </c>
      <c r="C288" s="120">
        <f t="shared" si="170"/>
        <v>0</v>
      </c>
      <c r="D288" s="120">
        <f t="shared" si="170"/>
        <v>0</v>
      </c>
      <c r="E288" s="120">
        <f t="shared" si="170"/>
        <v>1</v>
      </c>
      <c r="F288" s="120">
        <f t="shared" si="170"/>
        <v>1</v>
      </c>
      <c r="G288" s="120">
        <f t="shared" si="170"/>
        <v>0</v>
      </c>
      <c r="H288" s="120">
        <f t="shared" si="170"/>
        <v>0</v>
      </c>
      <c r="I288" s="120">
        <f t="shared" si="170"/>
        <v>0</v>
      </c>
      <c r="J288" s="120">
        <f t="shared" si="170"/>
        <v>0</v>
      </c>
      <c r="K288" s="120">
        <f t="shared" si="170"/>
        <v>0</v>
      </c>
      <c r="L288" s="120">
        <f t="shared" si="170"/>
        <v>0</v>
      </c>
      <c r="M288" s="120">
        <f t="shared" si="170"/>
        <v>0</v>
      </c>
      <c r="N288" s="120">
        <f t="shared" si="170"/>
        <v>0</v>
      </c>
      <c r="O288" s="120">
        <f t="shared" si="170"/>
        <v>0</v>
      </c>
      <c r="P288" s="120">
        <f t="shared" si="170"/>
        <v>0</v>
      </c>
      <c r="Q288" s="120">
        <f t="shared" si="170"/>
        <v>0</v>
      </c>
      <c r="R288" s="120">
        <f t="shared" si="170"/>
        <v>0</v>
      </c>
      <c r="S288" s="120">
        <f t="shared" si="170"/>
        <v>0</v>
      </c>
      <c r="T288" s="120">
        <f t="shared" si="170"/>
        <v>0</v>
      </c>
      <c r="U288" s="120">
        <f t="shared" si="170"/>
        <v>0</v>
      </c>
      <c r="V288" s="120">
        <f t="shared" si="170"/>
        <v>0</v>
      </c>
      <c r="W288" s="120">
        <f t="shared" si="170"/>
        <v>0</v>
      </c>
      <c r="X288" s="120">
        <f t="shared" si="170"/>
        <v>0</v>
      </c>
      <c r="Y288" s="120">
        <f t="shared" si="170"/>
        <v>0</v>
      </c>
      <c r="AA288" s="120">
        <f t="shared" si="169"/>
        <v>0</v>
      </c>
      <c r="AB288" s="120">
        <f t="shared" si="169"/>
        <v>0</v>
      </c>
      <c r="AC288" s="120">
        <f t="shared" si="169"/>
        <v>0</v>
      </c>
      <c r="AD288" s="120">
        <f t="shared" si="169"/>
        <v>1</v>
      </c>
      <c r="AE288" s="120">
        <f t="shared" si="169"/>
        <v>1</v>
      </c>
      <c r="AF288" s="120">
        <f t="shared" si="169"/>
        <v>0</v>
      </c>
      <c r="AG288" s="120">
        <f t="shared" si="169"/>
        <v>0</v>
      </c>
      <c r="AH288" s="120">
        <f t="shared" si="169"/>
        <v>0</v>
      </c>
      <c r="AI288" s="120">
        <f t="shared" si="169"/>
        <v>0</v>
      </c>
      <c r="AJ288" s="120">
        <f t="shared" si="169"/>
        <v>0</v>
      </c>
      <c r="AK288" s="120">
        <f t="shared" si="169"/>
        <v>0</v>
      </c>
      <c r="AL288" s="120">
        <f t="shared" si="169"/>
        <v>0</v>
      </c>
      <c r="AM288" s="120">
        <f t="shared" si="169"/>
        <v>0</v>
      </c>
      <c r="AN288" s="120">
        <f t="shared" si="169"/>
        <v>0</v>
      </c>
      <c r="AO288" s="120">
        <f t="shared" si="169"/>
        <v>0</v>
      </c>
      <c r="AP288" s="120">
        <f t="shared" si="167"/>
        <v>0</v>
      </c>
      <c r="AQ288" s="120">
        <f t="shared" si="167"/>
        <v>0</v>
      </c>
      <c r="AR288" s="120">
        <f t="shared" si="167"/>
        <v>0</v>
      </c>
      <c r="AS288" s="120">
        <f t="shared" si="167"/>
        <v>0</v>
      </c>
      <c r="AT288" s="120">
        <f t="shared" si="167"/>
        <v>0</v>
      </c>
      <c r="AU288" s="120">
        <f t="shared" si="167"/>
        <v>0</v>
      </c>
      <c r="AV288" s="120">
        <f t="shared" si="167"/>
        <v>0</v>
      </c>
      <c r="AW288" s="120">
        <f t="shared" si="167"/>
        <v>0</v>
      </c>
      <c r="AX288" s="120">
        <f t="shared" si="167"/>
        <v>0</v>
      </c>
      <c r="AY288" s="120">
        <f t="shared" si="165"/>
        <v>2</v>
      </c>
      <c r="AZ288" s="20" t="s">
        <v>138</v>
      </c>
    </row>
    <row r="289" spans="1:52">
      <c r="A289" s="120" t="s">
        <v>163</v>
      </c>
      <c r="B289" s="120">
        <f t="shared" si="170"/>
        <v>0</v>
      </c>
      <c r="C289" s="120">
        <f t="shared" si="170"/>
        <v>0</v>
      </c>
      <c r="D289" s="120">
        <f t="shared" si="170"/>
        <v>0</v>
      </c>
      <c r="E289" s="120">
        <f t="shared" si="170"/>
        <v>0</v>
      </c>
      <c r="F289" s="120">
        <f t="shared" si="170"/>
        <v>0</v>
      </c>
      <c r="G289" s="120">
        <f t="shared" si="170"/>
        <v>0</v>
      </c>
      <c r="H289" s="120">
        <f t="shared" si="170"/>
        <v>0</v>
      </c>
      <c r="I289" s="120">
        <f t="shared" si="170"/>
        <v>1</v>
      </c>
      <c r="J289" s="120">
        <f t="shared" si="170"/>
        <v>1</v>
      </c>
      <c r="K289" s="120">
        <f t="shared" si="170"/>
        <v>0</v>
      </c>
      <c r="L289" s="120">
        <f t="shared" si="170"/>
        <v>0</v>
      </c>
      <c r="M289" s="120">
        <f t="shared" si="170"/>
        <v>0</v>
      </c>
      <c r="N289" s="120">
        <f t="shared" si="170"/>
        <v>0</v>
      </c>
      <c r="O289" s="120">
        <f t="shared" si="170"/>
        <v>0</v>
      </c>
      <c r="P289" s="120">
        <f t="shared" si="170"/>
        <v>0</v>
      </c>
      <c r="Q289" s="120">
        <f t="shared" si="170"/>
        <v>0</v>
      </c>
      <c r="R289" s="120">
        <f t="shared" si="170"/>
        <v>0</v>
      </c>
      <c r="S289" s="120">
        <f t="shared" si="170"/>
        <v>0</v>
      </c>
      <c r="T289" s="120">
        <f t="shared" si="170"/>
        <v>0</v>
      </c>
      <c r="U289" s="120">
        <f t="shared" si="170"/>
        <v>1</v>
      </c>
      <c r="V289" s="120">
        <f t="shared" si="170"/>
        <v>0</v>
      </c>
      <c r="W289" s="120">
        <f t="shared" si="170"/>
        <v>0</v>
      </c>
      <c r="X289" s="120">
        <f t="shared" si="170"/>
        <v>0</v>
      </c>
      <c r="Y289" s="120">
        <f t="shared" si="170"/>
        <v>1</v>
      </c>
      <c r="AA289" s="120">
        <f t="shared" si="169"/>
        <v>0</v>
      </c>
      <c r="AB289" s="120">
        <f t="shared" si="169"/>
        <v>0</v>
      </c>
      <c r="AC289" s="120">
        <f t="shared" si="169"/>
        <v>0</v>
      </c>
      <c r="AD289" s="120">
        <f t="shared" si="169"/>
        <v>0</v>
      </c>
      <c r="AE289" s="120">
        <f t="shared" si="169"/>
        <v>0</v>
      </c>
      <c r="AF289" s="120">
        <f t="shared" si="169"/>
        <v>0</v>
      </c>
      <c r="AG289" s="120">
        <f t="shared" si="169"/>
        <v>0</v>
      </c>
      <c r="AH289" s="120">
        <f t="shared" si="169"/>
        <v>0.5</v>
      </c>
      <c r="AI289" s="120">
        <f t="shared" si="169"/>
        <v>0.5</v>
      </c>
      <c r="AJ289" s="120">
        <f t="shared" si="169"/>
        <v>0</v>
      </c>
      <c r="AK289" s="120">
        <f t="shared" si="169"/>
        <v>0</v>
      </c>
      <c r="AL289" s="120">
        <f t="shared" si="169"/>
        <v>0</v>
      </c>
      <c r="AM289" s="120">
        <f t="shared" si="169"/>
        <v>0</v>
      </c>
      <c r="AN289" s="120">
        <f t="shared" si="169"/>
        <v>0</v>
      </c>
      <c r="AO289" s="120">
        <f t="shared" si="169"/>
        <v>0</v>
      </c>
      <c r="AP289" s="120">
        <f t="shared" si="167"/>
        <v>0</v>
      </c>
      <c r="AQ289" s="120">
        <f t="shared" si="167"/>
        <v>0</v>
      </c>
      <c r="AR289" s="120">
        <f t="shared" si="167"/>
        <v>0</v>
      </c>
      <c r="AS289" s="120">
        <f t="shared" si="167"/>
        <v>0</v>
      </c>
      <c r="AT289" s="120">
        <f t="shared" si="167"/>
        <v>1</v>
      </c>
      <c r="AU289" s="120">
        <f t="shared" si="167"/>
        <v>0</v>
      </c>
      <c r="AV289" s="120">
        <f t="shared" si="167"/>
        <v>0</v>
      </c>
      <c r="AW289" s="120">
        <f t="shared" si="167"/>
        <v>0</v>
      </c>
      <c r="AX289" s="120">
        <f t="shared" si="167"/>
        <v>1</v>
      </c>
      <c r="AY289" s="120">
        <f t="shared" si="165"/>
        <v>3</v>
      </c>
      <c r="AZ289" s="20" t="s">
        <v>138</v>
      </c>
    </row>
    <row r="290" spans="1:52">
      <c r="A290" s="120" t="s">
        <v>164</v>
      </c>
      <c r="B290" s="120">
        <f t="shared" si="170"/>
        <v>0</v>
      </c>
      <c r="C290" s="120">
        <f t="shared" si="170"/>
        <v>1</v>
      </c>
      <c r="D290" s="120">
        <f t="shared" si="170"/>
        <v>0</v>
      </c>
      <c r="E290" s="120">
        <f t="shared" si="170"/>
        <v>0</v>
      </c>
      <c r="F290" s="120">
        <f t="shared" si="170"/>
        <v>0</v>
      </c>
      <c r="G290" s="120">
        <f t="shared" si="170"/>
        <v>0</v>
      </c>
      <c r="H290" s="120">
        <f t="shared" si="170"/>
        <v>1</v>
      </c>
      <c r="I290" s="120">
        <f t="shared" si="170"/>
        <v>0</v>
      </c>
      <c r="J290" s="120">
        <f t="shared" si="170"/>
        <v>0</v>
      </c>
      <c r="K290" s="120">
        <f t="shared" si="170"/>
        <v>0</v>
      </c>
      <c r="L290" s="120">
        <f t="shared" si="170"/>
        <v>0</v>
      </c>
      <c r="M290" s="120">
        <f t="shared" si="170"/>
        <v>1</v>
      </c>
      <c r="N290" s="120">
        <f t="shared" si="170"/>
        <v>0</v>
      </c>
      <c r="O290" s="120">
        <f t="shared" si="170"/>
        <v>0</v>
      </c>
      <c r="P290" s="120">
        <f t="shared" si="170"/>
        <v>0</v>
      </c>
      <c r="Q290" s="120">
        <f t="shared" si="170"/>
        <v>0</v>
      </c>
      <c r="R290" s="120">
        <f t="shared" si="170"/>
        <v>0</v>
      </c>
      <c r="S290" s="120">
        <f t="shared" si="170"/>
        <v>0</v>
      </c>
      <c r="T290" s="120">
        <f t="shared" si="170"/>
        <v>0</v>
      </c>
      <c r="U290" s="120">
        <f t="shared" si="170"/>
        <v>0</v>
      </c>
      <c r="V290" s="120">
        <f t="shared" si="170"/>
        <v>0</v>
      </c>
      <c r="W290" s="120">
        <f t="shared" si="170"/>
        <v>0</v>
      </c>
      <c r="X290" s="120">
        <f t="shared" si="170"/>
        <v>0</v>
      </c>
      <c r="Y290" s="120">
        <f t="shared" si="170"/>
        <v>0</v>
      </c>
      <c r="AA290" s="120">
        <f t="shared" si="169"/>
        <v>0</v>
      </c>
      <c r="AB290" s="120">
        <f t="shared" si="169"/>
        <v>1</v>
      </c>
      <c r="AC290" s="120">
        <f t="shared" si="169"/>
        <v>0</v>
      </c>
      <c r="AD290" s="120">
        <f t="shared" si="169"/>
        <v>0</v>
      </c>
      <c r="AE290" s="120">
        <f t="shared" si="169"/>
        <v>0</v>
      </c>
      <c r="AF290" s="120">
        <f t="shared" si="169"/>
        <v>0</v>
      </c>
      <c r="AG290" s="120">
        <f t="shared" si="169"/>
        <v>1</v>
      </c>
      <c r="AH290" s="120">
        <f t="shared" si="169"/>
        <v>0</v>
      </c>
      <c r="AI290" s="120">
        <f t="shared" si="169"/>
        <v>0</v>
      </c>
      <c r="AJ290" s="120">
        <f t="shared" si="169"/>
        <v>0</v>
      </c>
      <c r="AK290" s="120">
        <f t="shared" si="169"/>
        <v>0</v>
      </c>
      <c r="AL290" s="120">
        <f t="shared" si="169"/>
        <v>0.5</v>
      </c>
      <c r="AM290" s="120">
        <f t="shared" si="169"/>
        <v>0</v>
      </c>
      <c r="AN290" s="120">
        <f t="shared" si="169"/>
        <v>0</v>
      </c>
      <c r="AO290" s="120">
        <f t="shared" si="169"/>
        <v>0</v>
      </c>
      <c r="AP290" s="120">
        <f t="shared" si="167"/>
        <v>0</v>
      </c>
      <c r="AQ290" s="120">
        <f t="shared" si="167"/>
        <v>0</v>
      </c>
      <c r="AR290" s="120">
        <f t="shared" si="167"/>
        <v>0</v>
      </c>
      <c r="AS290" s="120">
        <f t="shared" si="167"/>
        <v>0</v>
      </c>
      <c r="AT290" s="120">
        <f t="shared" si="167"/>
        <v>0</v>
      </c>
      <c r="AU290" s="120">
        <f t="shared" si="167"/>
        <v>0</v>
      </c>
      <c r="AV290" s="120">
        <f t="shared" si="167"/>
        <v>0</v>
      </c>
      <c r="AW290" s="120">
        <f t="shared" si="167"/>
        <v>0</v>
      </c>
      <c r="AX290" s="120">
        <f t="shared" si="167"/>
        <v>0</v>
      </c>
      <c r="AY290" s="120">
        <f t="shared" si="165"/>
        <v>2.5</v>
      </c>
      <c r="AZ290" s="20" t="s">
        <v>138</v>
      </c>
    </row>
    <row r="291" spans="1:52">
      <c r="A291" s="120" t="s">
        <v>165</v>
      </c>
      <c r="B291" s="120">
        <f t="shared" si="170"/>
        <v>0</v>
      </c>
      <c r="C291" s="120">
        <f t="shared" si="170"/>
        <v>0</v>
      </c>
      <c r="D291" s="120">
        <f t="shared" si="170"/>
        <v>0</v>
      </c>
      <c r="E291" s="120">
        <f t="shared" si="170"/>
        <v>0</v>
      </c>
      <c r="F291" s="120">
        <f t="shared" si="170"/>
        <v>1</v>
      </c>
      <c r="G291" s="120">
        <f t="shared" si="170"/>
        <v>0</v>
      </c>
      <c r="H291" s="120">
        <f t="shared" si="170"/>
        <v>0</v>
      </c>
      <c r="I291" s="120">
        <f t="shared" si="170"/>
        <v>0</v>
      </c>
      <c r="J291" s="120">
        <f t="shared" si="170"/>
        <v>0</v>
      </c>
      <c r="K291" s="120">
        <f t="shared" si="170"/>
        <v>0</v>
      </c>
      <c r="L291" s="120">
        <f t="shared" si="170"/>
        <v>0</v>
      </c>
      <c r="M291" s="120">
        <f t="shared" si="170"/>
        <v>0</v>
      </c>
      <c r="N291" s="120">
        <f t="shared" si="170"/>
        <v>0</v>
      </c>
      <c r="O291" s="120">
        <f t="shared" si="170"/>
        <v>0</v>
      </c>
      <c r="P291" s="120">
        <f t="shared" si="170"/>
        <v>1</v>
      </c>
      <c r="Q291" s="120">
        <f t="shared" ref="Q291:Y291" si="171">IF(IFERROR(FIND($A$268,Q27,1),0)=0,0,1)</f>
        <v>0</v>
      </c>
      <c r="R291" s="120">
        <f t="shared" si="171"/>
        <v>0</v>
      </c>
      <c r="S291" s="120">
        <f t="shared" si="171"/>
        <v>0</v>
      </c>
      <c r="T291" s="120">
        <f t="shared" si="171"/>
        <v>0</v>
      </c>
      <c r="U291" s="120">
        <f t="shared" si="171"/>
        <v>0</v>
      </c>
      <c r="V291" s="120">
        <f t="shared" si="171"/>
        <v>0</v>
      </c>
      <c r="W291" s="120">
        <f t="shared" si="171"/>
        <v>0</v>
      </c>
      <c r="X291" s="120">
        <f t="shared" si="171"/>
        <v>0</v>
      </c>
      <c r="Y291" s="120">
        <f t="shared" si="171"/>
        <v>0</v>
      </c>
      <c r="AA291" s="120">
        <f t="shared" si="169"/>
        <v>0</v>
      </c>
      <c r="AB291" s="120">
        <f t="shared" si="169"/>
        <v>0</v>
      </c>
      <c r="AC291" s="120">
        <f t="shared" si="169"/>
        <v>0</v>
      </c>
      <c r="AD291" s="120">
        <f t="shared" si="169"/>
        <v>0</v>
      </c>
      <c r="AE291" s="120">
        <f t="shared" si="169"/>
        <v>1</v>
      </c>
      <c r="AF291" s="120">
        <f t="shared" si="169"/>
        <v>0</v>
      </c>
      <c r="AG291" s="120">
        <f t="shared" si="169"/>
        <v>0</v>
      </c>
      <c r="AH291" s="120">
        <f t="shared" si="169"/>
        <v>0</v>
      </c>
      <c r="AI291" s="120">
        <f t="shared" si="169"/>
        <v>0</v>
      </c>
      <c r="AJ291" s="120">
        <f t="shared" si="169"/>
        <v>0</v>
      </c>
      <c r="AK291" s="120">
        <f t="shared" si="169"/>
        <v>0</v>
      </c>
      <c r="AL291" s="120">
        <f t="shared" si="169"/>
        <v>0</v>
      </c>
      <c r="AM291" s="120">
        <f t="shared" si="169"/>
        <v>0</v>
      </c>
      <c r="AN291" s="120">
        <f t="shared" si="169"/>
        <v>0</v>
      </c>
      <c r="AO291" s="120">
        <f t="shared" si="169"/>
        <v>1</v>
      </c>
      <c r="AP291" s="120">
        <f t="shared" si="167"/>
        <v>0</v>
      </c>
      <c r="AQ291" s="120">
        <f t="shared" si="167"/>
        <v>0</v>
      </c>
      <c r="AR291" s="120">
        <f t="shared" si="167"/>
        <v>0</v>
      </c>
      <c r="AS291" s="120">
        <f t="shared" si="167"/>
        <v>0</v>
      </c>
      <c r="AT291" s="120">
        <f t="shared" si="167"/>
        <v>0</v>
      </c>
      <c r="AU291" s="120">
        <f t="shared" si="167"/>
        <v>0</v>
      </c>
      <c r="AV291" s="120">
        <f t="shared" si="167"/>
        <v>0</v>
      </c>
      <c r="AW291" s="120">
        <f t="shared" si="167"/>
        <v>0</v>
      </c>
      <c r="AX291" s="120">
        <f t="shared" si="167"/>
        <v>0</v>
      </c>
      <c r="AY291" s="120">
        <f t="shared" si="165"/>
        <v>2</v>
      </c>
      <c r="AZ291" s="20" t="s">
        <v>138</v>
      </c>
    </row>
    <row r="292" spans="1:52">
      <c r="A292" s="120" t="s">
        <v>166</v>
      </c>
      <c r="B292" s="120">
        <f t="shared" ref="B292:Y299" si="172">IF(IFERROR(FIND($A$268,B28,1),0)=0,0,1)</f>
        <v>0</v>
      </c>
      <c r="C292" s="120">
        <f t="shared" si="172"/>
        <v>0</v>
      </c>
      <c r="D292" s="120">
        <f t="shared" si="172"/>
        <v>0</v>
      </c>
      <c r="E292" s="120">
        <f t="shared" si="172"/>
        <v>1</v>
      </c>
      <c r="F292" s="120">
        <f t="shared" si="172"/>
        <v>1</v>
      </c>
      <c r="G292" s="120">
        <f t="shared" si="172"/>
        <v>1</v>
      </c>
      <c r="H292" s="120">
        <f t="shared" si="172"/>
        <v>0</v>
      </c>
      <c r="I292" s="120">
        <f t="shared" si="172"/>
        <v>0</v>
      </c>
      <c r="J292" s="120">
        <f t="shared" si="172"/>
        <v>0</v>
      </c>
      <c r="K292" s="120">
        <f t="shared" si="172"/>
        <v>0</v>
      </c>
      <c r="L292" s="120">
        <f t="shared" si="172"/>
        <v>0</v>
      </c>
      <c r="M292" s="120">
        <f t="shared" si="172"/>
        <v>1</v>
      </c>
      <c r="N292" s="120">
        <f t="shared" si="172"/>
        <v>0</v>
      </c>
      <c r="O292" s="120">
        <f t="shared" si="172"/>
        <v>1</v>
      </c>
      <c r="P292" s="120">
        <f t="shared" si="172"/>
        <v>1</v>
      </c>
      <c r="Q292" s="120">
        <f t="shared" si="172"/>
        <v>1</v>
      </c>
      <c r="R292" s="120">
        <f t="shared" si="172"/>
        <v>1</v>
      </c>
      <c r="S292" s="120">
        <f t="shared" si="172"/>
        <v>0</v>
      </c>
      <c r="T292" s="120">
        <f t="shared" si="172"/>
        <v>0</v>
      </c>
      <c r="U292" s="120">
        <f t="shared" si="172"/>
        <v>0</v>
      </c>
      <c r="V292" s="120">
        <f t="shared" si="172"/>
        <v>0</v>
      </c>
      <c r="W292" s="120">
        <f t="shared" si="172"/>
        <v>0</v>
      </c>
      <c r="X292" s="120">
        <f t="shared" si="172"/>
        <v>0</v>
      </c>
      <c r="Y292" s="120">
        <f t="shared" si="172"/>
        <v>0</v>
      </c>
      <c r="AA292" s="120">
        <f t="shared" si="169"/>
        <v>0</v>
      </c>
      <c r="AB292" s="120">
        <f t="shared" si="169"/>
        <v>0</v>
      </c>
      <c r="AC292" s="120">
        <f t="shared" si="169"/>
        <v>0</v>
      </c>
      <c r="AD292" s="120">
        <f t="shared" si="169"/>
        <v>1</v>
      </c>
      <c r="AE292" s="120">
        <f t="shared" si="169"/>
        <v>1</v>
      </c>
      <c r="AF292" s="120">
        <f t="shared" si="169"/>
        <v>1</v>
      </c>
      <c r="AG292" s="120">
        <f t="shared" si="169"/>
        <v>0</v>
      </c>
      <c r="AH292" s="120">
        <f t="shared" si="169"/>
        <v>0</v>
      </c>
      <c r="AI292" s="120">
        <f t="shared" si="169"/>
        <v>0</v>
      </c>
      <c r="AJ292" s="120">
        <f t="shared" si="169"/>
        <v>0</v>
      </c>
      <c r="AK292" s="120">
        <f t="shared" si="169"/>
        <v>0</v>
      </c>
      <c r="AL292" s="120">
        <f t="shared" si="169"/>
        <v>1</v>
      </c>
      <c r="AM292" s="120">
        <f t="shared" si="169"/>
        <v>0</v>
      </c>
      <c r="AN292" s="120">
        <f t="shared" si="169"/>
        <v>1</v>
      </c>
      <c r="AO292" s="120">
        <f t="shared" si="169"/>
        <v>1</v>
      </c>
      <c r="AP292" s="120">
        <f t="shared" si="167"/>
        <v>1</v>
      </c>
      <c r="AQ292" s="120">
        <f t="shared" si="167"/>
        <v>1</v>
      </c>
      <c r="AR292" s="120">
        <f t="shared" si="167"/>
        <v>0</v>
      </c>
      <c r="AS292" s="120">
        <f t="shared" si="167"/>
        <v>0</v>
      </c>
      <c r="AT292" s="120">
        <f t="shared" si="167"/>
        <v>0</v>
      </c>
      <c r="AU292" s="120">
        <f t="shared" si="167"/>
        <v>0</v>
      </c>
      <c r="AV292" s="120">
        <f t="shared" si="167"/>
        <v>0</v>
      </c>
      <c r="AW292" s="120">
        <f t="shared" si="167"/>
        <v>0</v>
      </c>
      <c r="AX292" s="120">
        <f t="shared" si="167"/>
        <v>0</v>
      </c>
      <c r="AY292" s="120">
        <f t="shared" si="165"/>
        <v>8</v>
      </c>
      <c r="AZ292" s="20" t="s">
        <v>138</v>
      </c>
    </row>
    <row r="293" spans="1:52">
      <c r="A293" s="120" t="s">
        <v>167</v>
      </c>
      <c r="B293" s="120">
        <f t="shared" si="172"/>
        <v>1</v>
      </c>
      <c r="C293" s="120">
        <f t="shared" si="172"/>
        <v>0</v>
      </c>
      <c r="D293" s="120">
        <f t="shared" si="172"/>
        <v>1</v>
      </c>
      <c r="E293" s="120">
        <f t="shared" si="172"/>
        <v>1</v>
      </c>
      <c r="F293" s="120">
        <f t="shared" si="172"/>
        <v>1</v>
      </c>
      <c r="G293" s="120">
        <f t="shared" si="172"/>
        <v>1</v>
      </c>
      <c r="H293" s="120">
        <f t="shared" si="172"/>
        <v>1</v>
      </c>
      <c r="I293" s="120">
        <f t="shared" si="172"/>
        <v>0</v>
      </c>
      <c r="J293" s="120">
        <f t="shared" si="172"/>
        <v>0</v>
      </c>
      <c r="K293" s="120">
        <f t="shared" si="172"/>
        <v>0</v>
      </c>
      <c r="L293" s="120">
        <f t="shared" si="172"/>
        <v>0</v>
      </c>
      <c r="M293" s="120">
        <f t="shared" si="172"/>
        <v>1</v>
      </c>
      <c r="N293" s="120">
        <f t="shared" si="172"/>
        <v>0</v>
      </c>
      <c r="O293" s="120">
        <f t="shared" si="172"/>
        <v>1</v>
      </c>
      <c r="P293" s="120">
        <f t="shared" si="172"/>
        <v>0</v>
      </c>
      <c r="Q293" s="120">
        <f t="shared" si="172"/>
        <v>1</v>
      </c>
      <c r="R293" s="120">
        <f t="shared" si="172"/>
        <v>1</v>
      </c>
      <c r="S293" s="120">
        <f t="shared" si="172"/>
        <v>0</v>
      </c>
      <c r="T293" s="120">
        <f t="shared" si="172"/>
        <v>0</v>
      </c>
      <c r="U293" s="120">
        <f t="shared" si="172"/>
        <v>0</v>
      </c>
      <c r="V293" s="120">
        <f t="shared" si="172"/>
        <v>0</v>
      </c>
      <c r="W293" s="120">
        <f t="shared" si="172"/>
        <v>0</v>
      </c>
      <c r="X293" s="120">
        <f t="shared" si="172"/>
        <v>0</v>
      </c>
      <c r="Y293" s="120">
        <f t="shared" si="172"/>
        <v>0</v>
      </c>
      <c r="AA293" s="120">
        <f t="shared" si="169"/>
        <v>1</v>
      </c>
      <c r="AB293" s="120">
        <f t="shared" si="169"/>
        <v>0</v>
      </c>
      <c r="AC293" s="120">
        <f t="shared" si="169"/>
        <v>1</v>
      </c>
      <c r="AD293" s="120">
        <f t="shared" si="169"/>
        <v>1</v>
      </c>
      <c r="AE293" s="120">
        <f t="shared" si="169"/>
        <v>1</v>
      </c>
      <c r="AF293" s="120">
        <f t="shared" si="169"/>
        <v>1</v>
      </c>
      <c r="AG293" s="120">
        <f t="shared" si="169"/>
        <v>1</v>
      </c>
      <c r="AH293" s="120">
        <f t="shared" si="169"/>
        <v>0</v>
      </c>
      <c r="AI293" s="120">
        <f t="shared" si="169"/>
        <v>0</v>
      </c>
      <c r="AJ293" s="120">
        <f t="shared" si="169"/>
        <v>0</v>
      </c>
      <c r="AK293" s="120">
        <f t="shared" si="169"/>
        <v>0</v>
      </c>
      <c r="AL293" s="120">
        <f t="shared" si="169"/>
        <v>1</v>
      </c>
      <c r="AM293" s="120">
        <f t="shared" si="169"/>
        <v>0</v>
      </c>
      <c r="AN293" s="120">
        <f t="shared" si="169"/>
        <v>1</v>
      </c>
      <c r="AO293" s="120">
        <f t="shared" si="169"/>
        <v>0</v>
      </c>
      <c r="AP293" s="120">
        <f t="shared" si="167"/>
        <v>1</v>
      </c>
      <c r="AQ293" s="120">
        <f t="shared" si="167"/>
        <v>1</v>
      </c>
      <c r="AR293" s="120">
        <f t="shared" si="167"/>
        <v>0</v>
      </c>
      <c r="AS293" s="120">
        <f t="shared" si="167"/>
        <v>0</v>
      </c>
      <c r="AT293" s="120">
        <f t="shared" si="167"/>
        <v>0</v>
      </c>
      <c r="AU293" s="120">
        <f t="shared" si="167"/>
        <v>0</v>
      </c>
      <c r="AV293" s="120">
        <f t="shared" si="167"/>
        <v>0</v>
      </c>
      <c r="AW293" s="120">
        <f t="shared" si="167"/>
        <v>0</v>
      </c>
      <c r="AX293" s="120">
        <f t="shared" si="167"/>
        <v>0</v>
      </c>
      <c r="AY293" s="120">
        <f t="shared" si="165"/>
        <v>10</v>
      </c>
      <c r="AZ293" s="20" t="s">
        <v>138</v>
      </c>
    </row>
    <row r="294" spans="1:52">
      <c r="A294" s="120" t="s">
        <v>168</v>
      </c>
      <c r="B294" s="120">
        <f t="shared" si="172"/>
        <v>0</v>
      </c>
      <c r="C294" s="120">
        <f t="shared" si="172"/>
        <v>1</v>
      </c>
      <c r="D294" s="120">
        <f t="shared" si="172"/>
        <v>0</v>
      </c>
      <c r="E294" s="120">
        <f t="shared" si="172"/>
        <v>1</v>
      </c>
      <c r="F294" s="120">
        <f t="shared" si="172"/>
        <v>1</v>
      </c>
      <c r="G294" s="120">
        <f t="shared" si="172"/>
        <v>0</v>
      </c>
      <c r="H294" s="120">
        <f t="shared" si="172"/>
        <v>1</v>
      </c>
      <c r="I294" s="120">
        <f t="shared" si="172"/>
        <v>1</v>
      </c>
      <c r="J294" s="120">
        <f t="shared" si="172"/>
        <v>0</v>
      </c>
      <c r="K294" s="120">
        <f t="shared" si="172"/>
        <v>0</v>
      </c>
      <c r="L294" s="120">
        <f t="shared" si="172"/>
        <v>0</v>
      </c>
      <c r="M294" s="120">
        <f t="shared" si="172"/>
        <v>1</v>
      </c>
      <c r="N294" s="120">
        <f t="shared" si="172"/>
        <v>0</v>
      </c>
      <c r="O294" s="120">
        <f t="shared" si="172"/>
        <v>1</v>
      </c>
      <c r="P294" s="120">
        <f t="shared" si="172"/>
        <v>1</v>
      </c>
      <c r="Q294" s="120">
        <f t="shared" si="172"/>
        <v>1</v>
      </c>
      <c r="R294" s="120">
        <f t="shared" si="172"/>
        <v>1</v>
      </c>
      <c r="S294" s="120">
        <f t="shared" si="172"/>
        <v>0</v>
      </c>
      <c r="T294" s="120">
        <f t="shared" si="172"/>
        <v>0</v>
      </c>
      <c r="U294" s="120">
        <f t="shared" si="172"/>
        <v>0</v>
      </c>
      <c r="V294" s="120">
        <f t="shared" si="172"/>
        <v>0</v>
      </c>
      <c r="W294" s="120">
        <f t="shared" si="172"/>
        <v>0</v>
      </c>
      <c r="X294" s="120">
        <f t="shared" si="172"/>
        <v>0</v>
      </c>
      <c r="Y294" s="120">
        <f t="shared" si="172"/>
        <v>1</v>
      </c>
      <c r="AA294" s="120">
        <f t="shared" si="169"/>
        <v>0</v>
      </c>
      <c r="AB294" s="120">
        <f t="shared" si="169"/>
        <v>1</v>
      </c>
      <c r="AC294" s="120">
        <f t="shared" si="169"/>
        <v>0</v>
      </c>
      <c r="AD294" s="120">
        <f t="shared" si="169"/>
        <v>1</v>
      </c>
      <c r="AE294" s="120">
        <f t="shared" si="169"/>
        <v>1</v>
      </c>
      <c r="AF294" s="120">
        <f t="shared" si="169"/>
        <v>0</v>
      </c>
      <c r="AG294" s="120">
        <f t="shared" si="169"/>
        <v>1</v>
      </c>
      <c r="AH294" s="120">
        <f t="shared" si="169"/>
        <v>1</v>
      </c>
      <c r="AI294" s="120">
        <f t="shared" si="169"/>
        <v>0</v>
      </c>
      <c r="AJ294" s="120">
        <f t="shared" si="169"/>
        <v>0</v>
      </c>
      <c r="AK294" s="120">
        <f t="shared" si="169"/>
        <v>0</v>
      </c>
      <c r="AL294" s="120">
        <f t="shared" si="169"/>
        <v>1</v>
      </c>
      <c r="AM294" s="120">
        <f t="shared" si="169"/>
        <v>0</v>
      </c>
      <c r="AN294" s="120">
        <f t="shared" si="169"/>
        <v>1</v>
      </c>
      <c r="AO294" s="120">
        <f t="shared" si="169"/>
        <v>1</v>
      </c>
      <c r="AP294" s="120">
        <f t="shared" si="167"/>
        <v>1</v>
      </c>
      <c r="AQ294" s="120">
        <f t="shared" si="167"/>
        <v>1</v>
      </c>
      <c r="AR294" s="120">
        <f t="shared" si="167"/>
        <v>0</v>
      </c>
      <c r="AS294" s="120">
        <f t="shared" si="167"/>
        <v>0</v>
      </c>
      <c r="AT294" s="120">
        <f t="shared" si="167"/>
        <v>0</v>
      </c>
      <c r="AU294" s="120">
        <f t="shared" si="167"/>
        <v>0</v>
      </c>
      <c r="AV294" s="120">
        <f t="shared" si="167"/>
        <v>0</v>
      </c>
      <c r="AW294" s="120">
        <f t="shared" si="167"/>
        <v>0</v>
      </c>
      <c r="AX294" s="120">
        <f t="shared" si="167"/>
        <v>1</v>
      </c>
      <c r="AY294" s="120">
        <f t="shared" si="165"/>
        <v>11</v>
      </c>
      <c r="AZ294" s="20" t="s">
        <v>138</v>
      </c>
    </row>
    <row r="295" spans="1:52">
      <c r="A295" s="120" t="s">
        <v>169</v>
      </c>
      <c r="B295" s="120">
        <f t="shared" si="172"/>
        <v>1</v>
      </c>
      <c r="C295" s="120">
        <f t="shared" si="172"/>
        <v>1</v>
      </c>
      <c r="D295" s="120">
        <f t="shared" si="172"/>
        <v>1</v>
      </c>
      <c r="E295" s="120">
        <f t="shared" si="172"/>
        <v>1</v>
      </c>
      <c r="F295" s="120">
        <f t="shared" si="172"/>
        <v>1</v>
      </c>
      <c r="G295" s="120">
        <f t="shared" si="172"/>
        <v>1</v>
      </c>
      <c r="H295" s="120">
        <f t="shared" si="172"/>
        <v>1</v>
      </c>
      <c r="I295" s="120">
        <f t="shared" si="172"/>
        <v>0</v>
      </c>
      <c r="J295" s="120">
        <f t="shared" si="172"/>
        <v>0</v>
      </c>
      <c r="K295" s="120">
        <f t="shared" si="172"/>
        <v>0</v>
      </c>
      <c r="L295" s="120">
        <f t="shared" si="172"/>
        <v>0</v>
      </c>
      <c r="M295" s="120">
        <f t="shared" si="172"/>
        <v>0</v>
      </c>
      <c r="N295" s="120">
        <f t="shared" si="172"/>
        <v>1</v>
      </c>
      <c r="O295" s="120">
        <f t="shared" si="172"/>
        <v>1</v>
      </c>
      <c r="P295" s="120">
        <f t="shared" si="172"/>
        <v>1</v>
      </c>
      <c r="Q295" s="120">
        <f t="shared" si="172"/>
        <v>1</v>
      </c>
      <c r="R295" s="120">
        <f t="shared" si="172"/>
        <v>1</v>
      </c>
      <c r="S295" s="120">
        <f t="shared" si="172"/>
        <v>0</v>
      </c>
      <c r="T295" s="120">
        <f t="shared" si="172"/>
        <v>0</v>
      </c>
      <c r="U295" s="120">
        <f t="shared" si="172"/>
        <v>0</v>
      </c>
      <c r="V295" s="120">
        <f t="shared" si="172"/>
        <v>0</v>
      </c>
      <c r="W295" s="120">
        <f t="shared" si="172"/>
        <v>0</v>
      </c>
      <c r="X295" s="120">
        <f t="shared" si="172"/>
        <v>0</v>
      </c>
      <c r="Y295" s="120">
        <f t="shared" si="172"/>
        <v>0</v>
      </c>
      <c r="AA295" s="120">
        <f t="shared" si="169"/>
        <v>1</v>
      </c>
      <c r="AB295" s="120">
        <f t="shared" si="169"/>
        <v>1</v>
      </c>
      <c r="AC295" s="120">
        <f t="shared" si="169"/>
        <v>1</v>
      </c>
      <c r="AD295" s="120">
        <f t="shared" si="169"/>
        <v>1</v>
      </c>
      <c r="AE295" s="120">
        <f t="shared" si="169"/>
        <v>1</v>
      </c>
      <c r="AF295" s="120">
        <f t="shared" si="169"/>
        <v>1</v>
      </c>
      <c r="AG295" s="120">
        <f t="shared" si="169"/>
        <v>1</v>
      </c>
      <c r="AH295" s="120">
        <f t="shared" si="169"/>
        <v>0</v>
      </c>
      <c r="AI295" s="120">
        <f t="shared" si="169"/>
        <v>0</v>
      </c>
      <c r="AJ295" s="120">
        <f t="shared" si="169"/>
        <v>0</v>
      </c>
      <c r="AK295" s="120">
        <f t="shared" si="169"/>
        <v>0</v>
      </c>
      <c r="AL295" s="120">
        <f t="shared" si="169"/>
        <v>0</v>
      </c>
      <c r="AM295" s="120">
        <f t="shared" si="169"/>
        <v>1</v>
      </c>
      <c r="AN295" s="120">
        <f t="shared" si="169"/>
        <v>1</v>
      </c>
      <c r="AO295" s="120">
        <f t="shared" si="169"/>
        <v>1</v>
      </c>
      <c r="AP295" s="120">
        <f t="shared" si="169"/>
        <v>1</v>
      </c>
      <c r="AQ295" s="120">
        <f t="shared" ref="AQ295:AX299" si="173">IF(R295=0,0,R295/AQ31)</f>
        <v>1</v>
      </c>
      <c r="AR295" s="120">
        <f t="shared" si="173"/>
        <v>0</v>
      </c>
      <c r="AS295" s="120">
        <f t="shared" si="173"/>
        <v>0</v>
      </c>
      <c r="AT295" s="120">
        <f t="shared" si="173"/>
        <v>0</v>
      </c>
      <c r="AU295" s="120">
        <f t="shared" si="173"/>
        <v>0</v>
      </c>
      <c r="AV295" s="120">
        <f t="shared" si="173"/>
        <v>0</v>
      </c>
      <c r="AW295" s="120">
        <f t="shared" si="173"/>
        <v>0</v>
      </c>
      <c r="AX295" s="120">
        <f t="shared" si="173"/>
        <v>0</v>
      </c>
      <c r="AY295" s="120">
        <f t="shared" si="165"/>
        <v>12</v>
      </c>
      <c r="AZ295" s="20" t="s">
        <v>138</v>
      </c>
    </row>
    <row r="296" spans="1:52">
      <c r="A296" s="120" t="s">
        <v>170</v>
      </c>
      <c r="B296" s="120">
        <f t="shared" si="172"/>
        <v>1</v>
      </c>
      <c r="C296" s="120">
        <f t="shared" si="172"/>
        <v>1</v>
      </c>
      <c r="D296" s="120">
        <f t="shared" si="172"/>
        <v>1</v>
      </c>
      <c r="E296" s="120">
        <f t="shared" si="172"/>
        <v>1</v>
      </c>
      <c r="F296" s="120">
        <f t="shared" si="172"/>
        <v>1</v>
      </c>
      <c r="G296" s="120">
        <f t="shared" si="172"/>
        <v>1</v>
      </c>
      <c r="H296" s="120">
        <f t="shared" si="172"/>
        <v>1</v>
      </c>
      <c r="I296" s="120">
        <f t="shared" si="172"/>
        <v>1</v>
      </c>
      <c r="J296" s="120">
        <f t="shared" si="172"/>
        <v>0</v>
      </c>
      <c r="K296" s="120">
        <f t="shared" si="172"/>
        <v>0</v>
      </c>
      <c r="L296" s="120">
        <f t="shared" si="172"/>
        <v>1</v>
      </c>
      <c r="M296" s="120">
        <f t="shared" si="172"/>
        <v>1</v>
      </c>
      <c r="N296" s="120">
        <f t="shared" si="172"/>
        <v>1</v>
      </c>
      <c r="O296" s="120">
        <f t="shared" si="172"/>
        <v>1</v>
      </c>
      <c r="P296" s="120">
        <f t="shared" si="172"/>
        <v>1</v>
      </c>
      <c r="Q296" s="120">
        <f t="shared" si="172"/>
        <v>1</v>
      </c>
      <c r="R296" s="120">
        <f t="shared" si="172"/>
        <v>1</v>
      </c>
      <c r="S296" s="120">
        <f t="shared" si="172"/>
        <v>1</v>
      </c>
      <c r="T296" s="120">
        <f t="shared" si="172"/>
        <v>1</v>
      </c>
      <c r="U296" s="120">
        <f t="shared" si="172"/>
        <v>0</v>
      </c>
      <c r="V296" s="120">
        <f t="shared" si="172"/>
        <v>0</v>
      </c>
      <c r="W296" s="120">
        <f t="shared" si="172"/>
        <v>0</v>
      </c>
      <c r="X296" s="120">
        <f t="shared" si="172"/>
        <v>0</v>
      </c>
      <c r="Y296" s="120">
        <f t="shared" si="172"/>
        <v>0</v>
      </c>
      <c r="AA296" s="120">
        <f t="shared" ref="AA296:AP299" si="174">IF(B296=0,0,B296/AA32)</f>
        <v>1</v>
      </c>
      <c r="AB296" s="120">
        <f t="shared" si="174"/>
        <v>0.5</v>
      </c>
      <c r="AC296" s="120">
        <f t="shared" si="174"/>
        <v>1</v>
      </c>
      <c r="AD296" s="120">
        <f t="shared" si="174"/>
        <v>1</v>
      </c>
      <c r="AE296" s="120">
        <f t="shared" si="174"/>
        <v>1</v>
      </c>
      <c r="AF296" s="120">
        <f t="shared" si="174"/>
        <v>1</v>
      </c>
      <c r="AG296" s="120">
        <f t="shared" si="174"/>
        <v>1</v>
      </c>
      <c r="AH296" s="120">
        <f t="shared" si="174"/>
        <v>1</v>
      </c>
      <c r="AI296" s="120">
        <f t="shared" si="174"/>
        <v>0</v>
      </c>
      <c r="AJ296" s="120">
        <f t="shared" si="174"/>
        <v>0</v>
      </c>
      <c r="AK296" s="120">
        <f t="shared" si="174"/>
        <v>1</v>
      </c>
      <c r="AL296" s="120">
        <f t="shared" si="174"/>
        <v>0.5</v>
      </c>
      <c r="AM296" s="120">
        <f t="shared" si="174"/>
        <v>1</v>
      </c>
      <c r="AN296" s="120">
        <f t="shared" si="174"/>
        <v>1</v>
      </c>
      <c r="AO296" s="120">
        <f t="shared" si="174"/>
        <v>1</v>
      </c>
      <c r="AP296" s="120">
        <f t="shared" si="174"/>
        <v>1</v>
      </c>
      <c r="AQ296" s="120">
        <f t="shared" si="173"/>
        <v>1</v>
      </c>
      <c r="AR296" s="120">
        <f t="shared" si="173"/>
        <v>1</v>
      </c>
      <c r="AS296" s="120">
        <f t="shared" si="173"/>
        <v>1</v>
      </c>
      <c r="AT296" s="120">
        <f t="shared" si="173"/>
        <v>0</v>
      </c>
      <c r="AU296" s="120">
        <f t="shared" si="173"/>
        <v>0</v>
      </c>
      <c r="AV296" s="120">
        <f t="shared" si="173"/>
        <v>0</v>
      </c>
      <c r="AW296" s="120">
        <f t="shared" si="173"/>
        <v>0</v>
      </c>
      <c r="AX296" s="120">
        <f t="shared" si="173"/>
        <v>0</v>
      </c>
      <c r="AY296" s="120">
        <f t="shared" si="165"/>
        <v>16</v>
      </c>
      <c r="AZ296" s="20" t="s">
        <v>138</v>
      </c>
    </row>
    <row r="297" spans="1:52">
      <c r="A297" s="120" t="s">
        <v>171</v>
      </c>
      <c r="B297" s="120">
        <f t="shared" si="172"/>
        <v>1</v>
      </c>
      <c r="C297" s="120">
        <f t="shared" si="172"/>
        <v>1</v>
      </c>
      <c r="D297" s="120">
        <f t="shared" si="172"/>
        <v>1</v>
      </c>
      <c r="E297" s="120">
        <f t="shared" si="172"/>
        <v>1</v>
      </c>
      <c r="F297" s="120">
        <f t="shared" si="172"/>
        <v>1</v>
      </c>
      <c r="G297" s="120">
        <f t="shared" si="172"/>
        <v>1</v>
      </c>
      <c r="H297" s="120">
        <f t="shared" si="172"/>
        <v>1</v>
      </c>
      <c r="I297" s="120">
        <f t="shared" si="172"/>
        <v>1</v>
      </c>
      <c r="J297" s="120">
        <f t="shared" si="172"/>
        <v>0</v>
      </c>
      <c r="K297" s="120">
        <f t="shared" si="172"/>
        <v>0</v>
      </c>
      <c r="L297" s="120">
        <f t="shared" si="172"/>
        <v>0</v>
      </c>
      <c r="M297" s="120">
        <f t="shared" si="172"/>
        <v>0</v>
      </c>
      <c r="N297" s="120">
        <f t="shared" si="172"/>
        <v>0</v>
      </c>
      <c r="O297" s="120">
        <f t="shared" si="172"/>
        <v>1</v>
      </c>
      <c r="P297" s="120">
        <f t="shared" si="172"/>
        <v>1</v>
      </c>
      <c r="Q297" s="120">
        <f t="shared" si="172"/>
        <v>1</v>
      </c>
      <c r="R297" s="120">
        <f t="shared" si="172"/>
        <v>1</v>
      </c>
      <c r="S297" s="120">
        <f t="shared" si="172"/>
        <v>0</v>
      </c>
      <c r="T297" s="120">
        <f t="shared" si="172"/>
        <v>1</v>
      </c>
      <c r="U297" s="120">
        <f t="shared" si="172"/>
        <v>0</v>
      </c>
      <c r="V297" s="120">
        <f t="shared" si="172"/>
        <v>0</v>
      </c>
      <c r="W297" s="120">
        <f t="shared" si="172"/>
        <v>0</v>
      </c>
      <c r="X297" s="120">
        <f t="shared" si="172"/>
        <v>0</v>
      </c>
      <c r="Y297" s="120">
        <f t="shared" si="172"/>
        <v>0</v>
      </c>
      <c r="AA297" s="120">
        <f t="shared" si="174"/>
        <v>1</v>
      </c>
      <c r="AB297" s="120">
        <f t="shared" si="174"/>
        <v>1</v>
      </c>
      <c r="AC297" s="120">
        <f t="shared" si="174"/>
        <v>1</v>
      </c>
      <c r="AD297" s="120">
        <f t="shared" si="174"/>
        <v>1</v>
      </c>
      <c r="AE297" s="120">
        <f t="shared" si="174"/>
        <v>1</v>
      </c>
      <c r="AF297" s="120">
        <f t="shared" si="174"/>
        <v>1</v>
      </c>
      <c r="AG297" s="120">
        <f t="shared" si="174"/>
        <v>1</v>
      </c>
      <c r="AH297" s="120">
        <f t="shared" si="174"/>
        <v>1</v>
      </c>
      <c r="AI297" s="120">
        <f t="shared" si="174"/>
        <v>0</v>
      </c>
      <c r="AJ297" s="120">
        <f t="shared" si="174"/>
        <v>0</v>
      </c>
      <c r="AK297" s="120">
        <f t="shared" si="174"/>
        <v>0</v>
      </c>
      <c r="AL297" s="120">
        <f t="shared" si="174"/>
        <v>0</v>
      </c>
      <c r="AM297" s="120">
        <f t="shared" si="174"/>
        <v>0</v>
      </c>
      <c r="AN297" s="120">
        <f t="shared" si="174"/>
        <v>1</v>
      </c>
      <c r="AO297" s="120">
        <f t="shared" si="174"/>
        <v>1</v>
      </c>
      <c r="AP297" s="120">
        <f t="shared" si="174"/>
        <v>1</v>
      </c>
      <c r="AQ297" s="120">
        <f t="shared" si="173"/>
        <v>1</v>
      </c>
      <c r="AR297" s="120">
        <f t="shared" si="173"/>
        <v>0</v>
      </c>
      <c r="AS297" s="120">
        <f t="shared" si="173"/>
        <v>1</v>
      </c>
      <c r="AT297" s="120">
        <f t="shared" si="173"/>
        <v>0</v>
      </c>
      <c r="AU297" s="120">
        <f t="shared" si="173"/>
        <v>0</v>
      </c>
      <c r="AV297" s="120">
        <f t="shared" si="173"/>
        <v>0</v>
      </c>
      <c r="AW297" s="120">
        <f t="shared" si="173"/>
        <v>0</v>
      </c>
      <c r="AX297" s="120">
        <f t="shared" si="173"/>
        <v>0</v>
      </c>
      <c r="AY297" s="120">
        <f t="shared" si="165"/>
        <v>13</v>
      </c>
      <c r="AZ297" s="20" t="s">
        <v>138</v>
      </c>
    </row>
    <row r="298" spans="1:52">
      <c r="A298" s="120" t="s">
        <v>172</v>
      </c>
      <c r="B298" s="120">
        <f t="shared" si="172"/>
        <v>0</v>
      </c>
      <c r="C298" s="120">
        <f t="shared" si="172"/>
        <v>1</v>
      </c>
      <c r="D298" s="120">
        <f t="shared" si="172"/>
        <v>1</v>
      </c>
      <c r="E298" s="120">
        <f t="shared" si="172"/>
        <v>1</v>
      </c>
      <c r="F298" s="120">
        <f t="shared" si="172"/>
        <v>1</v>
      </c>
      <c r="G298" s="120">
        <f t="shared" si="172"/>
        <v>1</v>
      </c>
      <c r="H298" s="120">
        <f t="shared" si="172"/>
        <v>1</v>
      </c>
      <c r="I298" s="120">
        <f t="shared" si="172"/>
        <v>0</v>
      </c>
      <c r="J298" s="120">
        <f t="shared" si="172"/>
        <v>0</v>
      </c>
      <c r="K298" s="120">
        <f t="shared" si="172"/>
        <v>1</v>
      </c>
      <c r="L298" s="120">
        <f t="shared" si="172"/>
        <v>1</v>
      </c>
      <c r="M298" s="120">
        <f t="shared" si="172"/>
        <v>1</v>
      </c>
      <c r="N298" s="120">
        <f t="shared" si="172"/>
        <v>1</v>
      </c>
      <c r="O298" s="120">
        <f t="shared" si="172"/>
        <v>1</v>
      </c>
      <c r="P298" s="120">
        <f t="shared" si="172"/>
        <v>1</v>
      </c>
      <c r="Q298" s="120">
        <f t="shared" si="172"/>
        <v>0</v>
      </c>
      <c r="R298" s="120">
        <f t="shared" si="172"/>
        <v>1</v>
      </c>
      <c r="S298" s="120">
        <f t="shared" si="172"/>
        <v>1</v>
      </c>
      <c r="T298" s="120">
        <f t="shared" si="172"/>
        <v>0</v>
      </c>
      <c r="U298" s="120">
        <f t="shared" si="172"/>
        <v>0</v>
      </c>
      <c r="V298" s="120">
        <f t="shared" si="172"/>
        <v>1</v>
      </c>
      <c r="W298" s="120">
        <f t="shared" si="172"/>
        <v>0</v>
      </c>
      <c r="X298" s="120">
        <f t="shared" si="172"/>
        <v>0</v>
      </c>
      <c r="Y298" s="120">
        <f t="shared" si="172"/>
        <v>1</v>
      </c>
      <c r="AA298" s="120">
        <f t="shared" si="174"/>
        <v>0</v>
      </c>
      <c r="AB298" s="120">
        <f t="shared" si="174"/>
        <v>1</v>
      </c>
      <c r="AC298" s="120">
        <f t="shared" si="174"/>
        <v>1</v>
      </c>
      <c r="AD298" s="120">
        <f t="shared" si="174"/>
        <v>1</v>
      </c>
      <c r="AE298" s="120">
        <f t="shared" si="174"/>
        <v>1</v>
      </c>
      <c r="AF298" s="120">
        <f t="shared" si="174"/>
        <v>1</v>
      </c>
      <c r="AG298" s="120">
        <f t="shared" si="174"/>
        <v>1</v>
      </c>
      <c r="AH298" s="120">
        <f t="shared" si="174"/>
        <v>0</v>
      </c>
      <c r="AI298" s="120">
        <f t="shared" si="174"/>
        <v>0</v>
      </c>
      <c r="AJ298" s="120">
        <f t="shared" si="174"/>
        <v>1</v>
      </c>
      <c r="AK298" s="120">
        <f t="shared" si="174"/>
        <v>1</v>
      </c>
      <c r="AL298" s="120">
        <f t="shared" si="174"/>
        <v>1</v>
      </c>
      <c r="AM298" s="120">
        <f t="shared" si="174"/>
        <v>1</v>
      </c>
      <c r="AN298" s="120">
        <f t="shared" si="174"/>
        <v>0.5</v>
      </c>
      <c r="AO298" s="120">
        <f t="shared" si="174"/>
        <v>0.5</v>
      </c>
      <c r="AP298" s="120">
        <f t="shared" si="174"/>
        <v>0</v>
      </c>
      <c r="AQ298" s="120">
        <f t="shared" si="173"/>
        <v>1</v>
      </c>
      <c r="AR298" s="120">
        <f t="shared" si="173"/>
        <v>1</v>
      </c>
      <c r="AS298" s="120">
        <f t="shared" si="173"/>
        <v>0</v>
      </c>
      <c r="AT298" s="120">
        <f t="shared" si="173"/>
        <v>0</v>
      </c>
      <c r="AU298" s="120">
        <f t="shared" si="173"/>
        <v>1</v>
      </c>
      <c r="AV298" s="120">
        <f t="shared" si="173"/>
        <v>0</v>
      </c>
      <c r="AW298" s="120">
        <f t="shared" si="173"/>
        <v>0</v>
      </c>
      <c r="AX298" s="120">
        <f t="shared" si="173"/>
        <v>1</v>
      </c>
      <c r="AY298" s="120">
        <f t="shared" si="165"/>
        <v>15</v>
      </c>
      <c r="AZ298" s="20" t="s">
        <v>138</v>
      </c>
    </row>
    <row r="299" spans="1:52">
      <c r="A299" s="120" t="s">
        <v>173</v>
      </c>
      <c r="B299" s="120">
        <f t="shared" si="172"/>
        <v>0</v>
      </c>
      <c r="C299" s="120">
        <f t="shared" si="172"/>
        <v>1</v>
      </c>
      <c r="D299" s="120">
        <f t="shared" si="172"/>
        <v>1</v>
      </c>
      <c r="E299" s="120">
        <f t="shared" si="172"/>
        <v>0</v>
      </c>
      <c r="F299" s="120">
        <f t="shared" si="172"/>
        <v>1</v>
      </c>
      <c r="G299" s="120">
        <f t="shared" si="172"/>
        <v>1</v>
      </c>
      <c r="H299" s="120">
        <f t="shared" si="172"/>
        <v>0</v>
      </c>
      <c r="I299" s="120">
        <f t="shared" si="172"/>
        <v>0</v>
      </c>
      <c r="J299" s="120">
        <f t="shared" si="172"/>
        <v>0</v>
      </c>
      <c r="K299" s="120">
        <f t="shared" si="172"/>
        <v>0</v>
      </c>
      <c r="L299" s="120">
        <f t="shared" si="172"/>
        <v>1</v>
      </c>
      <c r="M299" s="120">
        <f t="shared" si="172"/>
        <v>1</v>
      </c>
      <c r="N299" s="120">
        <f t="shared" si="172"/>
        <v>1</v>
      </c>
      <c r="O299" s="120">
        <f t="shared" si="172"/>
        <v>1</v>
      </c>
      <c r="P299" s="120">
        <f t="shared" si="172"/>
        <v>1</v>
      </c>
      <c r="Q299" s="120">
        <f t="shared" si="172"/>
        <v>1</v>
      </c>
      <c r="R299" s="120">
        <f t="shared" si="172"/>
        <v>1</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1</v>
      </c>
      <c r="AC299" s="120">
        <f t="shared" si="174"/>
        <v>1</v>
      </c>
      <c r="AD299" s="120">
        <f t="shared" si="174"/>
        <v>0</v>
      </c>
      <c r="AE299" s="120">
        <f t="shared" si="174"/>
        <v>1</v>
      </c>
      <c r="AF299" s="120">
        <f t="shared" si="174"/>
        <v>1</v>
      </c>
      <c r="AG299" s="120">
        <f t="shared" si="174"/>
        <v>0</v>
      </c>
      <c r="AH299" s="120">
        <f t="shared" si="174"/>
        <v>0</v>
      </c>
      <c r="AI299" s="120">
        <f t="shared" si="174"/>
        <v>0</v>
      </c>
      <c r="AJ299" s="120">
        <f t="shared" si="174"/>
        <v>0</v>
      </c>
      <c r="AK299" s="120">
        <f t="shared" si="174"/>
        <v>1</v>
      </c>
      <c r="AL299" s="120">
        <f t="shared" si="174"/>
        <v>1</v>
      </c>
      <c r="AM299" s="120">
        <f t="shared" si="174"/>
        <v>1</v>
      </c>
      <c r="AN299" s="120">
        <f t="shared" si="174"/>
        <v>1</v>
      </c>
      <c r="AO299" s="120">
        <f t="shared" si="174"/>
        <v>1</v>
      </c>
      <c r="AP299" s="120">
        <f t="shared" si="174"/>
        <v>1</v>
      </c>
      <c r="AQ299" s="120">
        <f t="shared" si="173"/>
        <v>1</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11</v>
      </c>
      <c r="AZ299" s="20" t="s">
        <v>138</v>
      </c>
    </row>
    <row r="301" spans="1:52">
      <c r="A301" s="134" t="s">
        <v>139</v>
      </c>
    </row>
    <row r="302" spans="1:52">
      <c r="A302" s="120" t="s">
        <v>143</v>
      </c>
      <c r="B302" s="120">
        <f t="shared" ref="B302:D302" si="175">IF(IFERROR(FIND($A$301,B5,1),0)=0,0,1)</f>
        <v>0</v>
      </c>
      <c r="C302" s="120">
        <f t="shared" si="175"/>
        <v>1</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1</v>
      </c>
      <c r="U302" s="120">
        <f t="shared" si="176"/>
        <v>1</v>
      </c>
      <c r="V302" s="120">
        <f t="shared" si="176"/>
        <v>0</v>
      </c>
      <c r="W302" s="120">
        <f t="shared" si="176"/>
        <v>0</v>
      </c>
      <c r="X302" s="120">
        <f t="shared" si="176"/>
        <v>0</v>
      </c>
      <c r="Y302" s="120">
        <f t="shared" si="176"/>
        <v>1</v>
      </c>
      <c r="AA302" s="120">
        <f t="shared" ref="AA302:AX312" si="177">IF(B302=0,0,B302/AA5)</f>
        <v>0</v>
      </c>
      <c r="AB302" s="120">
        <f t="shared" si="177"/>
        <v>1</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1</v>
      </c>
      <c r="AT302" s="120">
        <f t="shared" si="177"/>
        <v>1</v>
      </c>
      <c r="AU302" s="120">
        <f t="shared" si="177"/>
        <v>0</v>
      </c>
      <c r="AV302" s="120">
        <f t="shared" si="177"/>
        <v>0</v>
      </c>
      <c r="AW302" s="120">
        <f t="shared" si="177"/>
        <v>0</v>
      </c>
      <c r="AX302" s="120">
        <f t="shared" si="177"/>
        <v>1</v>
      </c>
      <c r="AY302" s="120">
        <f t="shared" ref="AY302:AY332" si="178">SUM(AA302:AX302)</f>
        <v>4</v>
      </c>
      <c r="AZ302" s="20" t="s">
        <v>139</v>
      </c>
    </row>
    <row r="303" spans="1:52">
      <c r="A303" s="120" t="s">
        <v>144</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1</v>
      </c>
      <c r="L303" s="120">
        <f t="shared" si="179"/>
        <v>0</v>
      </c>
      <c r="M303" s="120">
        <f t="shared" si="179"/>
        <v>0</v>
      </c>
      <c r="N303" s="120">
        <f t="shared" si="179"/>
        <v>0</v>
      </c>
      <c r="O303" s="120">
        <f t="shared" si="179"/>
        <v>0</v>
      </c>
      <c r="P303" s="120">
        <f t="shared" si="179"/>
        <v>0</v>
      </c>
      <c r="Q303" s="120">
        <f t="shared" si="179"/>
        <v>0</v>
      </c>
      <c r="R303" s="120">
        <f t="shared" si="179"/>
        <v>0</v>
      </c>
      <c r="S303" s="120">
        <f t="shared" si="179"/>
        <v>1</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1</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0.5</v>
      </c>
      <c r="AS303" s="120">
        <f t="shared" si="177"/>
        <v>0</v>
      </c>
      <c r="AT303" s="120">
        <f t="shared" si="177"/>
        <v>0</v>
      </c>
      <c r="AU303" s="120">
        <f t="shared" si="177"/>
        <v>0</v>
      </c>
      <c r="AV303" s="120">
        <f t="shared" si="177"/>
        <v>0</v>
      </c>
      <c r="AW303" s="120">
        <f t="shared" si="177"/>
        <v>0</v>
      </c>
      <c r="AX303" s="120">
        <f t="shared" si="177"/>
        <v>0</v>
      </c>
      <c r="AY303" s="120">
        <f t="shared" si="178"/>
        <v>1.5</v>
      </c>
      <c r="AZ303" s="20" t="s">
        <v>139</v>
      </c>
    </row>
    <row r="304" spans="1:52">
      <c r="A304" s="120" t="s">
        <v>145</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1</v>
      </c>
      <c r="U304" s="120">
        <f t="shared" si="179"/>
        <v>1</v>
      </c>
      <c r="V304" s="120">
        <f t="shared" si="179"/>
        <v>1</v>
      </c>
      <c r="W304" s="120">
        <f t="shared" si="179"/>
        <v>1</v>
      </c>
      <c r="X304" s="120">
        <f t="shared" si="179"/>
        <v>0</v>
      </c>
      <c r="Y304" s="120">
        <f t="shared" si="179"/>
        <v>1</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1</v>
      </c>
      <c r="AT304" s="120">
        <f t="shared" si="177"/>
        <v>1</v>
      </c>
      <c r="AU304" s="120">
        <f t="shared" si="177"/>
        <v>1</v>
      </c>
      <c r="AV304" s="120">
        <f t="shared" si="177"/>
        <v>1</v>
      </c>
      <c r="AW304" s="120">
        <f t="shared" si="177"/>
        <v>0</v>
      </c>
      <c r="AX304" s="120">
        <f t="shared" si="177"/>
        <v>1</v>
      </c>
      <c r="AY304" s="120">
        <f t="shared" si="178"/>
        <v>5</v>
      </c>
      <c r="AZ304" s="20" t="s">
        <v>139</v>
      </c>
    </row>
    <row r="305" spans="1:52">
      <c r="A305" s="120" t="s">
        <v>146</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0</v>
      </c>
      <c r="AY305" s="120">
        <f t="shared" si="178"/>
        <v>0</v>
      </c>
      <c r="AZ305" s="20" t="s">
        <v>139</v>
      </c>
    </row>
    <row r="306" spans="1:52">
      <c r="A306" s="120" t="s">
        <v>147</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0</v>
      </c>
      <c r="AY306" s="120">
        <f t="shared" si="178"/>
        <v>0</v>
      </c>
      <c r="AZ306" s="20" t="s">
        <v>139</v>
      </c>
    </row>
    <row r="307" spans="1:52">
      <c r="A307" s="120" t="s">
        <v>148</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0</v>
      </c>
      <c r="AZ307" s="20" t="s">
        <v>139</v>
      </c>
    </row>
    <row r="308" spans="1:52">
      <c r="A308" s="120" t="s">
        <v>149</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0</v>
      </c>
      <c r="AZ308" s="20" t="s">
        <v>139</v>
      </c>
    </row>
    <row r="309" spans="1:52">
      <c r="A309" s="120" t="s">
        <v>150</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0</v>
      </c>
      <c r="AX309" s="120">
        <f t="shared" si="177"/>
        <v>0</v>
      </c>
      <c r="AY309" s="120">
        <f t="shared" si="178"/>
        <v>0</v>
      </c>
      <c r="AZ309" s="20" t="s">
        <v>139</v>
      </c>
    </row>
    <row r="310" spans="1:52">
      <c r="A310" s="120" t="s">
        <v>151</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0</v>
      </c>
      <c r="AY310" s="120">
        <f t="shared" si="178"/>
        <v>0</v>
      </c>
      <c r="AZ310" s="20" t="s">
        <v>139</v>
      </c>
    </row>
    <row r="311" spans="1:52">
      <c r="A311" s="120" t="s">
        <v>152</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0</v>
      </c>
      <c r="AY311" s="120">
        <f t="shared" si="178"/>
        <v>0</v>
      </c>
      <c r="AZ311" s="20" t="s">
        <v>139</v>
      </c>
    </row>
    <row r="312" spans="1:52">
      <c r="A312" s="120" t="s">
        <v>153</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0</v>
      </c>
      <c r="X312" s="120">
        <f t="shared" si="179"/>
        <v>0</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0</v>
      </c>
      <c r="AW312" s="120">
        <f t="shared" si="180"/>
        <v>0</v>
      </c>
      <c r="AX312" s="120">
        <f t="shared" si="180"/>
        <v>0</v>
      </c>
      <c r="AY312" s="120">
        <f t="shared" si="178"/>
        <v>0</v>
      </c>
      <c r="AZ312" s="20" t="s">
        <v>139</v>
      </c>
    </row>
    <row r="313" spans="1:52">
      <c r="A313" s="120" t="s">
        <v>154</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0</v>
      </c>
      <c r="AZ313" s="20" t="s">
        <v>139</v>
      </c>
    </row>
    <row r="314" spans="1:52">
      <c r="A314" s="120" t="s">
        <v>155</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1</v>
      </c>
      <c r="T314" s="120">
        <f t="shared" si="183"/>
        <v>0</v>
      </c>
      <c r="U314" s="120">
        <f t="shared" si="183"/>
        <v>0</v>
      </c>
      <c r="V314" s="120">
        <f t="shared" si="183"/>
        <v>1</v>
      </c>
      <c r="W314" s="120">
        <f t="shared" si="183"/>
        <v>0</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1</v>
      </c>
      <c r="AS314" s="120">
        <f t="shared" si="180"/>
        <v>0</v>
      </c>
      <c r="AT314" s="120">
        <f t="shared" si="180"/>
        <v>0</v>
      </c>
      <c r="AU314" s="120">
        <f t="shared" si="180"/>
        <v>1</v>
      </c>
      <c r="AV314" s="120">
        <f t="shared" si="180"/>
        <v>0</v>
      </c>
      <c r="AW314" s="120">
        <f t="shared" si="180"/>
        <v>0</v>
      </c>
      <c r="AX314" s="120">
        <f t="shared" si="180"/>
        <v>0</v>
      </c>
      <c r="AY314" s="120">
        <f t="shared" si="178"/>
        <v>2</v>
      </c>
      <c r="AZ314" s="20" t="s">
        <v>139</v>
      </c>
    </row>
    <row r="315" spans="1:52">
      <c r="A315" s="120" t="s">
        <v>156</v>
      </c>
      <c r="B315" s="120">
        <f t="shared" si="183"/>
        <v>1</v>
      </c>
      <c r="C315" s="120">
        <f t="shared" si="183"/>
        <v>1</v>
      </c>
      <c r="D315" s="120">
        <f t="shared" si="183"/>
        <v>1</v>
      </c>
      <c r="E315" s="120">
        <f t="shared" si="183"/>
        <v>0</v>
      </c>
      <c r="F315" s="120">
        <f t="shared" si="183"/>
        <v>0</v>
      </c>
      <c r="G315" s="120">
        <f t="shared" si="183"/>
        <v>0</v>
      </c>
      <c r="H315" s="120">
        <f t="shared" si="183"/>
        <v>0</v>
      </c>
      <c r="I315" s="120">
        <f t="shared" si="183"/>
        <v>0</v>
      </c>
      <c r="J315" s="120">
        <f t="shared" si="183"/>
        <v>0</v>
      </c>
      <c r="K315" s="120">
        <f t="shared" si="183"/>
        <v>0</v>
      </c>
      <c r="L315" s="120">
        <f t="shared" si="183"/>
        <v>1</v>
      </c>
      <c r="M315" s="120">
        <f t="shared" si="183"/>
        <v>1</v>
      </c>
      <c r="N315" s="120">
        <f t="shared" si="183"/>
        <v>1</v>
      </c>
      <c r="O315" s="120">
        <f t="shared" si="183"/>
        <v>0</v>
      </c>
      <c r="P315" s="120">
        <f t="shared" si="183"/>
        <v>1</v>
      </c>
      <c r="Q315" s="120">
        <f t="shared" si="183"/>
        <v>1</v>
      </c>
      <c r="R315" s="120">
        <f t="shared" si="183"/>
        <v>0</v>
      </c>
      <c r="S315" s="120">
        <f t="shared" si="183"/>
        <v>0</v>
      </c>
      <c r="T315" s="120">
        <f t="shared" si="183"/>
        <v>0</v>
      </c>
      <c r="U315" s="120">
        <f t="shared" si="183"/>
        <v>0</v>
      </c>
      <c r="V315" s="120">
        <f t="shared" si="183"/>
        <v>0</v>
      </c>
      <c r="W315" s="120">
        <f t="shared" si="183"/>
        <v>0</v>
      </c>
      <c r="X315" s="120">
        <f t="shared" si="183"/>
        <v>0</v>
      </c>
      <c r="Y315" s="120">
        <f t="shared" si="183"/>
        <v>0</v>
      </c>
      <c r="AA315" s="120">
        <f t="shared" si="182"/>
        <v>1</v>
      </c>
      <c r="AB315" s="120">
        <f t="shared" si="182"/>
        <v>1</v>
      </c>
      <c r="AC315" s="120">
        <f t="shared" si="182"/>
        <v>1</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1</v>
      </c>
      <c r="AL315" s="120">
        <f t="shared" si="182"/>
        <v>1</v>
      </c>
      <c r="AM315" s="120">
        <f t="shared" si="182"/>
        <v>1</v>
      </c>
      <c r="AN315" s="120">
        <f t="shared" si="182"/>
        <v>0</v>
      </c>
      <c r="AO315" s="120">
        <f t="shared" si="182"/>
        <v>1</v>
      </c>
      <c r="AP315" s="120">
        <f t="shared" si="180"/>
        <v>1</v>
      </c>
      <c r="AQ315" s="120">
        <f t="shared" si="180"/>
        <v>0</v>
      </c>
      <c r="AR315" s="120">
        <f t="shared" si="180"/>
        <v>0</v>
      </c>
      <c r="AS315" s="120">
        <f t="shared" si="180"/>
        <v>0</v>
      </c>
      <c r="AT315" s="120">
        <f t="shared" si="180"/>
        <v>0</v>
      </c>
      <c r="AU315" s="120">
        <f t="shared" si="180"/>
        <v>0</v>
      </c>
      <c r="AV315" s="120">
        <f t="shared" si="180"/>
        <v>0</v>
      </c>
      <c r="AW315" s="120">
        <f t="shared" si="180"/>
        <v>0</v>
      </c>
      <c r="AX315" s="120">
        <f t="shared" si="180"/>
        <v>0</v>
      </c>
      <c r="AY315" s="120">
        <f t="shared" si="178"/>
        <v>8</v>
      </c>
      <c r="AZ315" s="20" t="s">
        <v>139</v>
      </c>
    </row>
    <row r="316" spans="1:52">
      <c r="A316" s="120" t="s">
        <v>157</v>
      </c>
      <c r="B316" s="120">
        <f t="shared" si="183"/>
        <v>1</v>
      </c>
      <c r="C316" s="120">
        <f t="shared" si="183"/>
        <v>0</v>
      </c>
      <c r="D316" s="120">
        <f t="shared" si="183"/>
        <v>0</v>
      </c>
      <c r="E316" s="120">
        <f t="shared" si="183"/>
        <v>1</v>
      </c>
      <c r="F316" s="120">
        <f t="shared" si="183"/>
        <v>1</v>
      </c>
      <c r="G316" s="120">
        <f t="shared" si="183"/>
        <v>1</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1</v>
      </c>
      <c r="Q316" s="120">
        <f t="shared" si="183"/>
        <v>1</v>
      </c>
      <c r="R316" s="120">
        <f t="shared" si="183"/>
        <v>0</v>
      </c>
      <c r="S316" s="120">
        <f t="shared" si="183"/>
        <v>0</v>
      </c>
      <c r="T316" s="120">
        <f t="shared" si="183"/>
        <v>0</v>
      </c>
      <c r="U316" s="120">
        <f t="shared" si="183"/>
        <v>0</v>
      </c>
      <c r="V316" s="120">
        <f t="shared" si="183"/>
        <v>0</v>
      </c>
      <c r="W316" s="120">
        <f t="shared" si="183"/>
        <v>1</v>
      </c>
      <c r="X316" s="120">
        <f t="shared" si="183"/>
        <v>0</v>
      </c>
      <c r="Y316" s="120">
        <f t="shared" si="183"/>
        <v>0</v>
      </c>
      <c r="AA316" s="120">
        <f t="shared" si="182"/>
        <v>1</v>
      </c>
      <c r="AB316" s="120">
        <f t="shared" si="182"/>
        <v>0</v>
      </c>
      <c r="AC316" s="120">
        <f t="shared" si="182"/>
        <v>0</v>
      </c>
      <c r="AD316" s="120">
        <f t="shared" si="182"/>
        <v>1</v>
      </c>
      <c r="AE316" s="120">
        <f t="shared" si="182"/>
        <v>1</v>
      </c>
      <c r="AF316" s="120">
        <f t="shared" si="182"/>
        <v>1</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1</v>
      </c>
      <c r="AP316" s="120">
        <f t="shared" si="180"/>
        <v>1</v>
      </c>
      <c r="AQ316" s="120">
        <f t="shared" si="180"/>
        <v>0</v>
      </c>
      <c r="AR316" s="120">
        <f t="shared" si="180"/>
        <v>0</v>
      </c>
      <c r="AS316" s="120">
        <f t="shared" si="180"/>
        <v>0</v>
      </c>
      <c r="AT316" s="120">
        <f t="shared" si="180"/>
        <v>0</v>
      </c>
      <c r="AU316" s="120">
        <f t="shared" si="180"/>
        <v>0</v>
      </c>
      <c r="AV316" s="120">
        <f t="shared" si="180"/>
        <v>1</v>
      </c>
      <c r="AW316" s="120">
        <f t="shared" si="180"/>
        <v>0</v>
      </c>
      <c r="AX316" s="120">
        <f t="shared" si="180"/>
        <v>0</v>
      </c>
      <c r="AY316" s="120">
        <f t="shared" si="178"/>
        <v>7</v>
      </c>
      <c r="AZ316" s="20" t="s">
        <v>139</v>
      </c>
    </row>
    <row r="317" spans="1:52">
      <c r="A317" s="120" t="s">
        <v>158</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1</v>
      </c>
      <c r="Q317" s="120">
        <f t="shared" si="183"/>
        <v>0</v>
      </c>
      <c r="R317" s="120">
        <f t="shared" si="183"/>
        <v>1</v>
      </c>
      <c r="S317" s="120">
        <f t="shared" si="183"/>
        <v>0</v>
      </c>
      <c r="T317" s="120">
        <f t="shared" si="183"/>
        <v>0</v>
      </c>
      <c r="U317" s="120">
        <f t="shared" si="183"/>
        <v>0</v>
      </c>
      <c r="V317" s="120">
        <f t="shared" si="183"/>
        <v>0</v>
      </c>
      <c r="W317" s="120">
        <f t="shared" si="183"/>
        <v>1</v>
      </c>
      <c r="X317" s="120">
        <f t="shared" si="183"/>
        <v>0</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1</v>
      </c>
      <c r="AP317" s="120">
        <f t="shared" si="180"/>
        <v>0</v>
      </c>
      <c r="AQ317" s="120">
        <f t="shared" si="180"/>
        <v>1</v>
      </c>
      <c r="AR317" s="120">
        <f t="shared" si="180"/>
        <v>0</v>
      </c>
      <c r="AS317" s="120">
        <f t="shared" si="180"/>
        <v>0</v>
      </c>
      <c r="AT317" s="120">
        <f t="shared" si="180"/>
        <v>0</v>
      </c>
      <c r="AU317" s="120">
        <f t="shared" si="180"/>
        <v>0</v>
      </c>
      <c r="AV317" s="120">
        <f t="shared" si="180"/>
        <v>1</v>
      </c>
      <c r="AW317" s="120">
        <f t="shared" si="180"/>
        <v>0</v>
      </c>
      <c r="AX317" s="120">
        <f t="shared" si="180"/>
        <v>0</v>
      </c>
      <c r="AY317" s="120">
        <f t="shared" si="178"/>
        <v>3</v>
      </c>
      <c r="AZ317" s="20" t="s">
        <v>139</v>
      </c>
    </row>
    <row r="318" spans="1:52">
      <c r="A318" s="120" t="s">
        <v>159</v>
      </c>
      <c r="B318" s="120">
        <f t="shared" si="183"/>
        <v>1</v>
      </c>
      <c r="C318" s="120">
        <f t="shared" si="183"/>
        <v>0</v>
      </c>
      <c r="D318" s="120">
        <f t="shared" si="183"/>
        <v>1</v>
      </c>
      <c r="E318" s="120">
        <f t="shared" si="183"/>
        <v>0</v>
      </c>
      <c r="F318" s="120">
        <f t="shared" si="183"/>
        <v>1</v>
      </c>
      <c r="G318" s="120">
        <f t="shared" si="183"/>
        <v>1</v>
      </c>
      <c r="H318" s="120">
        <f t="shared" si="183"/>
        <v>0</v>
      </c>
      <c r="I318" s="120">
        <f t="shared" si="183"/>
        <v>0</v>
      </c>
      <c r="J318" s="120">
        <f t="shared" si="183"/>
        <v>0</v>
      </c>
      <c r="K318" s="120">
        <f t="shared" si="183"/>
        <v>0</v>
      </c>
      <c r="L318" s="120">
        <f t="shared" si="183"/>
        <v>1</v>
      </c>
      <c r="M318" s="120">
        <f t="shared" si="183"/>
        <v>0</v>
      </c>
      <c r="N318" s="120">
        <f t="shared" si="183"/>
        <v>1</v>
      </c>
      <c r="O318" s="120">
        <f t="shared" si="183"/>
        <v>0</v>
      </c>
      <c r="P318" s="120">
        <f t="shared" si="183"/>
        <v>1</v>
      </c>
      <c r="Q318" s="120">
        <f t="shared" si="183"/>
        <v>0</v>
      </c>
      <c r="R318" s="120">
        <f t="shared" si="183"/>
        <v>0</v>
      </c>
      <c r="S318" s="120">
        <f t="shared" si="183"/>
        <v>1</v>
      </c>
      <c r="T318" s="120">
        <f t="shared" si="183"/>
        <v>0</v>
      </c>
      <c r="U318" s="120">
        <f t="shared" si="183"/>
        <v>0</v>
      </c>
      <c r="V318" s="120">
        <f t="shared" si="183"/>
        <v>0</v>
      </c>
      <c r="W318" s="120">
        <f t="shared" si="183"/>
        <v>0</v>
      </c>
      <c r="X318" s="120">
        <f t="shared" si="183"/>
        <v>0</v>
      </c>
      <c r="Y318" s="120">
        <f t="shared" si="183"/>
        <v>0</v>
      </c>
      <c r="AA318" s="120">
        <f t="shared" si="182"/>
        <v>1</v>
      </c>
      <c r="AB318" s="120">
        <f t="shared" si="182"/>
        <v>0</v>
      </c>
      <c r="AC318" s="120">
        <f t="shared" si="182"/>
        <v>1</v>
      </c>
      <c r="AD318" s="120">
        <f t="shared" si="182"/>
        <v>0</v>
      </c>
      <c r="AE318" s="120">
        <f t="shared" si="182"/>
        <v>1</v>
      </c>
      <c r="AF318" s="120">
        <f t="shared" si="182"/>
        <v>1</v>
      </c>
      <c r="AG318" s="120">
        <f t="shared" si="182"/>
        <v>0</v>
      </c>
      <c r="AH318" s="120">
        <f t="shared" si="182"/>
        <v>0</v>
      </c>
      <c r="AI318" s="120">
        <f t="shared" si="182"/>
        <v>0</v>
      </c>
      <c r="AJ318" s="120">
        <f t="shared" si="182"/>
        <v>0</v>
      </c>
      <c r="AK318" s="120">
        <f t="shared" si="182"/>
        <v>1</v>
      </c>
      <c r="AL318" s="120">
        <f t="shared" si="182"/>
        <v>0</v>
      </c>
      <c r="AM318" s="120">
        <f t="shared" si="182"/>
        <v>1</v>
      </c>
      <c r="AN318" s="120">
        <f t="shared" si="182"/>
        <v>0</v>
      </c>
      <c r="AO318" s="120">
        <f t="shared" si="182"/>
        <v>1</v>
      </c>
      <c r="AP318" s="120">
        <f t="shared" si="180"/>
        <v>0</v>
      </c>
      <c r="AQ318" s="120">
        <f t="shared" si="180"/>
        <v>0</v>
      </c>
      <c r="AR318" s="120">
        <f t="shared" si="180"/>
        <v>1</v>
      </c>
      <c r="AS318" s="120">
        <f t="shared" si="180"/>
        <v>0</v>
      </c>
      <c r="AT318" s="120">
        <f t="shared" si="180"/>
        <v>0</v>
      </c>
      <c r="AU318" s="120">
        <f t="shared" si="180"/>
        <v>0</v>
      </c>
      <c r="AV318" s="120">
        <f t="shared" si="180"/>
        <v>0</v>
      </c>
      <c r="AW318" s="120">
        <f t="shared" si="180"/>
        <v>0</v>
      </c>
      <c r="AX318" s="120">
        <f t="shared" si="180"/>
        <v>0</v>
      </c>
      <c r="AY318" s="120">
        <f t="shared" si="178"/>
        <v>8</v>
      </c>
      <c r="AZ318" s="20" t="s">
        <v>139</v>
      </c>
    </row>
    <row r="319" spans="1:52">
      <c r="A319" s="120" t="s">
        <v>160</v>
      </c>
      <c r="B319" s="120">
        <f t="shared" si="183"/>
        <v>0</v>
      </c>
      <c r="C319" s="120">
        <f t="shared" si="183"/>
        <v>0</v>
      </c>
      <c r="D319" s="120">
        <f t="shared" si="183"/>
        <v>0</v>
      </c>
      <c r="E319" s="120">
        <f t="shared" si="183"/>
        <v>0</v>
      </c>
      <c r="F319" s="120">
        <f t="shared" si="183"/>
        <v>0</v>
      </c>
      <c r="G319" s="120">
        <f t="shared" si="183"/>
        <v>0</v>
      </c>
      <c r="H319" s="120">
        <f t="shared" si="183"/>
        <v>0</v>
      </c>
      <c r="I319" s="120">
        <f t="shared" si="183"/>
        <v>0</v>
      </c>
      <c r="J319" s="120">
        <f t="shared" si="183"/>
        <v>1</v>
      </c>
      <c r="K319" s="120">
        <f t="shared" si="183"/>
        <v>1</v>
      </c>
      <c r="L319" s="120">
        <f t="shared" si="183"/>
        <v>0</v>
      </c>
      <c r="M319" s="120">
        <f t="shared" si="183"/>
        <v>0</v>
      </c>
      <c r="N319" s="120">
        <f t="shared" si="183"/>
        <v>1</v>
      </c>
      <c r="O319" s="120">
        <f t="shared" si="183"/>
        <v>0</v>
      </c>
      <c r="P319" s="120">
        <f t="shared" si="183"/>
        <v>0</v>
      </c>
      <c r="Q319" s="120">
        <f t="shared" si="183"/>
        <v>1</v>
      </c>
      <c r="R319" s="120">
        <f t="shared" si="183"/>
        <v>0</v>
      </c>
      <c r="S319" s="120">
        <f t="shared" si="183"/>
        <v>1</v>
      </c>
      <c r="T319" s="120">
        <f t="shared" si="183"/>
        <v>0</v>
      </c>
      <c r="U319" s="120">
        <f t="shared" si="183"/>
        <v>0</v>
      </c>
      <c r="V319" s="120">
        <f t="shared" si="183"/>
        <v>0</v>
      </c>
      <c r="W319" s="120">
        <f t="shared" si="183"/>
        <v>1</v>
      </c>
      <c r="X319" s="120">
        <f t="shared" si="183"/>
        <v>0</v>
      </c>
      <c r="Y319" s="120">
        <f t="shared" si="183"/>
        <v>0</v>
      </c>
      <c r="AA319" s="120">
        <f t="shared" si="182"/>
        <v>0</v>
      </c>
      <c r="AB319" s="120">
        <f t="shared" si="182"/>
        <v>0</v>
      </c>
      <c r="AC319" s="120">
        <f t="shared" si="182"/>
        <v>0</v>
      </c>
      <c r="AD319" s="120">
        <f t="shared" si="182"/>
        <v>0</v>
      </c>
      <c r="AE319" s="120">
        <f t="shared" si="182"/>
        <v>0</v>
      </c>
      <c r="AF319" s="120">
        <f t="shared" si="182"/>
        <v>0</v>
      </c>
      <c r="AG319" s="120">
        <f t="shared" si="182"/>
        <v>0</v>
      </c>
      <c r="AH319" s="120">
        <f t="shared" si="182"/>
        <v>0</v>
      </c>
      <c r="AI319" s="120">
        <f t="shared" si="182"/>
        <v>1</v>
      </c>
      <c r="AJ319" s="120">
        <f t="shared" si="182"/>
        <v>1</v>
      </c>
      <c r="AK319" s="120">
        <f t="shared" si="182"/>
        <v>0</v>
      </c>
      <c r="AL319" s="120">
        <f t="shared" si="182"/>
        <v>0</v>
      </c>
      <c r="AM319" s="120">
        <f t="shared" si="182"/>
        <v>1</v>
      </c>
      <c r="AN319" s="120">
        <f t="shared" si="182"/>
        <v>0</v>
      </c>
      <c r="AO319" s="120">
        <f t="shared" si="182"/>
        <v>0</v>
      </c>
      <c r="AP319" s="120">
        <f t="shared" si="180"/>
        <v>1</v>
      </c>
      <c r="AQ319" s="120">
        <f t="shared" si="180"/>
        <v>0</v>
      </c>
      <c r="AR319" s="120">
        <f t="shared" si="180"/>
        <v>1</v>
      </c>
      <c r="AS319" s="120">
        <f t="shared" si="180"/>
        <v>0</v>
      </c>
      <c r="AT319" s="120">
        <f t="shared" si="180"/>
        <v>0</v>
      </c>
      <c r="AU319" s="120">
        <f t="shared" si="180"/>
        <v>0</v>
      </c>
      <c r="AV319" s="120">
        <f t="shared" si="180"/>
        <v>1</v>
      </c>
      <c r="AW319" s="120">
        <f t="shared" si="180"/>
        <v>0</v>
      </c>
      <c r="AX319" s="120">
        <f t="shared" si="180"/>
        <v>0</v>
      </c>
      <c r="AY319" s="120">
        <f t="shared" si="178"/>
        <v>6</v>
      </c>
      <c r="AZ319" s="20" t="s">
        <v>139</v>
      </c>
    </row>
    <row r="320" spans="1:52">
      <c r="A320" s="120" t="s">
        <v>161</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1</v>
      </c>
      <c r="T320" s="120">
        <f t="shared" si="183"/>
        <v>0</v>
      </c>
      <c r="U320" s="120">
        <f t="shared" si="183"/>
        <v>0</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1</v>
      </c>
      <c r="AS320" s="120">
        <f t="shared" si="180"/>
        <v>0</v>
      </c>
      <c r="AT320" s="120">
        <f t="shared" si="180"/>
        <v>0</v>
      </c>
      <c r="AU320" s="120">
        <f t="shared" si="180"/>
        <v>0</v>
      </c>
      <c r="AV320" s="120">
        <f t="shared" si="180"/>
        <v>0</v>
      </c>
      <c r="AW320" s="120">
        <f t="shared" si="180"/>
        <v>0</v>
      </c>
      <c r="AX320" s="120">
        <f t="shared" si="180"/>
        <v>0</v>
      </c>
      <c r="AY320" s="120">
        <f t="shared" si="178"/>
        <v>1</v>
      </c>
      <c r="AZ320" s="20" t="s">
        <v>139</v>
      </c>
    </row>
    <row r="321" spans="1:52">
      <c r="A321" s="120" t="s">
        <v>162</v>
      </c>
      <c r="B321" s="120">
        <f t="shared" si="183"/>
        <v>0</v>
      </c>
      <c r="C321" s="120">
        <f t="shared" si="183"/>
        <v>1</v>
      </c>
      <c r="D321" s="120">
        <f t="shared" si="183"/>
        <v>1</v>
      </c>
      <c r="E321" s="120">
        <f t="shared" si="183"/>
        <v>0</v>
      </c>
      <c r="F321" s="120">
        <f t="shared" si="183"/>
        <v>0</v>
      </c>
      <c r="G321" s="120">
        <f t="shared" si="183"/>
        <v>1</v>
      </c>
      <c r="H321" s="120">
        <f t="shared" si="183"/>
        <v>0</v>
      </c>
      <c r="I321" s="120">
        <f t="shared" si="183"/>
        <v>0</v>
      </c>
      <c r="J321" s="120">
        <f t="shared" si="183"/>
        <v>0</v>
      </c>
      <c r="K321" s="120">
        <f t="shared" si="183"/>
        <v>1</v>
      </c>
      <c r="L321" s="120">
        <f t="shared" si="183"/>
        <v>0</v>
      </c>
      <c r="M321" s="120">
        <f t="shared" si="183"/>
        <v>1</v>
      </c>
      <c r="N321" s="120">
        <f t="shared" si="183"/>
        <v>0</v>
      </c>
      <c r="O321" s="120">
        <f t="shared" si="183"/>
        <v>0</v>
      </c>
      <c r="P321" s="120">
        <f t="shared" si="183"/>
        <v>0</v>
      </c>
      <c r="Q321" s="120">
        <f t="shared" si="183"/>
        <v>1</v>
      </c>
      <c r="R321" s="120">
        <f t="shared" si="183"/>
        <v>0</v>
      </c>
      <c r="S321" s="120">
        <f t="shared" si="183"/>
        <v>0</v>
      </c>
      <c r="T321" s="120">
        <f t="shared" si="183"/>
        <v>1</v>
      </c>
      <c r="U321" s="120">
        <f t="shared" si="183"/>
        <v>0</v>
      </c>
      <c r="V321" s="120">
        <f t="shared" si="183"/>
        <v>0</v>
      </c>
      <c r="W321" s="120">
        <f t="shared" si="183"/>
        <v>0</v>
      </c>
      <c r="X321" s="120">
        <f t="shared" si="183"/>
        <v>0</v>
      </c>
      <c r="Y321" s="120">
        <f t="shared" si="183"/>
        <v>0</v>
      </c>
      <c r="AA321" s="120">
        <f t="shared" si="182"/>
        <v>0</v>
      </c>
      <c r="AB321" s="120">
        <f t="shared" si="182"/>
        <v>1</v>
      </c>
      <c r="AC321" s="120">
        <f t="shared" si="182"/>
        <v>1</v>
      </c>
      <c r="AD321" s="120">
        <f t="shared" si="182"/>
        <v>0</v>
      </c>
      <c r="AE321" s="120">
        <f t="shared" si="182"/>
        <v>0</v>
      </c>
      <c r="AF321" s="120">
        <f t="shared" si="182"/>
        <v>1</v>
      </c>
      <c r="AG321" s="120">
        <f t="shared" si="182"/>
        <v>0</v>
      </c>
      <c r="AH321" s="120">
        <f t="shared" si="182"/>
        <v>0</v>
      </c>
      <c r="AI321" s="120">
        <f t="shared" si="182"/>
        <v>0</v>
      </c>
      <c r="AJ321" s="120">
        <f t="shared" si="182"/>
        <v>1</v>
      </c>
      <c r="AK321" s="120">
        <f t="shared" si="182"/>
        <v>0</v>
      </c>
      <c r="AL321" s="120">
        <f t="shared" si="182"/>
        <v>1</v>
      </c>
      <c r="AM321" s="120">
        <f t="shared" si="182"/>
        <v>0</v>
      </c>
      <c r="AN321" s="120">
        <f t="shared" si="182"/>
        <v>0</v>
      </c>
      <c r="AO321" s="120">
        <f t="shared" si="182"/>
        <v>0</v>
      </c>
      <c r="AP321" s="120">
        <f t="shared" si="180"/>
        <v>1</v>
      </c>
      <c r="AQ321" s="120">
        <f t="shared" si="180"/>
        <v>0</v>
      </c>
      <c r="AR321" s="120">
        <f t="shared" si="180"/>
        <v>0</v>
      </c>
      <c r="AS321" s="120">
        <f t="shared" si="180"/>
        <v>1</v>
      </c>
      <c r="AT321" s="120">
        <f t="shared" si="180"/>
        <v>0</v>
      </c>
      <c r="AU321" s="120">
        <f t="shared" si="180"/>
        <v>0</v>
      </c>
      <c r="AV321" s="120">
        <f t="shared" si="180"/>
        <v>0</v>
      </c>
      <c r="AW321" s="120">
        <f t="shared" si="180"/>
        <v>0</v>
      </c>
      <c r="AX321" s="120">
        <f t="shared" si="180"/>
        <v>0</v>
      </c>
      <c r="AY321" s="120">
        <f t="shared" si="178"/>
        <v>7</v>
      </c>
      <c r="AZ321" s="20" t="s">
        <v>139</v>
      </c>
    </row>
    <row r="322" spans="1:52">
      <c r="A322" s="120" t="s">
        <v>163</v>
      </c>
      <c r="B322" s="120">
        <f t="shared" si="183"/>
        <v>0</v>
      </c>
      <c r="C322" s="120">
        <f t="shared" si="183"/>
        <v>0</v>
      </c>
      <c r="D322" s="120">
        <f t="shared" si="183"/>
        <v>0</v>
      </c>
      <c r="E322" s="120">
        <f t="shared" si="183"/>
        <v>1</v>
      </c>
      <c r="F322" s="120">
        <f t="shared" si="183"/>
        <v>1</v>
      </c>
      <c r="G322" s="120">
        <f t="shared" si="183"/>
        <v>0</v>
      </c>
      <c r="H322" s="120">
        <f t="shared" si="183"/>
        <v>0</v>
      </c>
      <c r="I322" s="120">
        <f t="shared" si="183"/>
        <v>1</v>
      </c>
      <c r="J322" s="120">
        <f t="shared" si="183"/>
        <v>0</v>
      </c>
      <c r="K322" s="120">
        <f t="shared" si="183"/>
        <v>0</v>
      </c>
      <c r="L322" s="120">
        <f t="shared" si="183"/>
        <v>1</v>
      </c>
      <c r="M322" s="120">
        <f t="shared" si="183"/>
        <v>1</v>
      </c>
      <c r="N322" s="120">
        <f t="shared" si="183"/>
        <v>0</v>
      </c>
      <c r="O322" s="120">
        <f t="shared" si="183"/>
        <v>0</v>
      </c>
      <c r="P322" s="120">
        <f t="shared" si="183"/>
        <v>1</v>
      </c>
      <c r="Q322" s="120">
        <f t="shared" si="183"/>
        <v>0</v>
      </c>
      <c r="R322" s="120">
        <f t="shared" si="183"/>
        <v>0</v>
      </c>
      <c r="S322" s="120">
        <f t="shared" si="183"/>
        <v>0</v>
      </c>
      <c r="T322" s="120">
        <f t="shared" si="183"/>
        <v>0</v>
      </c>
      <c r="U322" s="120">
        <f t="shared" si="183"/>
        <v>0</v>
      </c>
      <c r="V322" s="120">
        <f t="shared" si="183"/>
        <v>0</v>
      </c>
      <c r="W322" s="120">
        <f t="shared" si="183"/>
        <v>1</v>
      </c>
      <c r="X322" s="120">
        <f t="shared" si="183"/>
        <v>1</v>
      </c>
      <c r="Y322" s="120">
        <f t="shared" si="183"/>
        <v>0</v>
      </c>
      <c r="AA322" s="120">
        <f t="shared" si="182"/>
        <v>0</v>
      </c>
      <c r="AB322" s="120">
        <f t="shared" si="182"/>
        <v>0</v>
      </c>
      <c r="AC322" s="120">
        <f t="shared" si="182"/>
        <v>0</v>
      </c>
      <c r="AD322" s="120">
        <f t="shared" si="182"/>
        <v>1</v>
      </c>
      <c r="AE322" s="120">
        <f t="shared" si="182"/>
        <v>1</v>
      </c>
      <c r="AF322" s="120">
        <f t="shared" si="182"/>
        <v>0</v>
      </c>
      <c r="AG322" s="120">
        <f t="shared" si="182"/>
        <v>0</v>
      </c>
      <c r="AH322" s="120">
        <f t="shared" si="182"/>
        <v>0.5</v>
      </c>
      <c r="AI322" s="120">
        <f t="shared" si="182"/>
        <v>0</v>
      </c>
      <c r="AJ322" s="120">
        <f t="shared" si="182"/>
        <v>0</v>
      </c>
      <c r="AK322" s="120">
        <f t="shared" si="182"/>
        <v>1</v>
      </c>
      <c r="AL322" s="120">
        <f t="shared" si="182"/>
        <v>1</v>
      </c>
      <c r="AM322" s="120">
        <f t="shared" si="182"/>
        <v>0</v>
      </c>
      <c r="AN322" s="120">
        <f t="shared" si="182"/>
        <v>0</v>
      </c>
      <c r="AO322" s="120">
        <f t="shared" si="182"/>
        <v>1</v>
      </c>
      <c r="AP322" s="120">
        <f t="shared" si="180"/>
        <v>0</v>
      </c>
      <c r="AQ322" s="120">
        <f t="shared" si="180"/>
        <v>0</v>
      </c>
      <c r="AR322" s="120">
        <f t="shared" si="180"/>
        <v>0</v>
      </c>
      <c r="AS322" s="120">
        <f t="shared" si="180"/>
        <v>0</v>
      </c>
      <c r="AT322" s="120">
        <f t="shared" si="180"/>
        <v>0</v>
      </c>
      <c r="AU322" s="120">
        <f t="shared" si="180"/>
        <v>0</v>
      </c>
      <c r="AV322" s="120">
        <f t="shared" si="180"/>
        <v>1</v>
      </c>
      <c r="AW322" s="120">
        <f t="shared" si="180"/>
        <v>0.5</v>
      </c>
      <c r="AX322" s="120">
        <f t="shared" si="180"/>
        <v>0</v>
      </c>
      <c r="AY322" s="120">
        <f t="shared" si="178"/>
        <v>7</v>
      </c>
      <c r="AZ322" s="20" t="s">
        <v>139</v>
      </c>
    </row>
    <row r="323" spans="1:52">
      <c r="A323" s="120" t="s">
        <v>164</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1</v>
      </c>
      <c r="K323" s="120">
        <f t="shared" si="183"/>
        <v>1</v>
      </c>
      <c r="L323" s="120">
        <f t="shared" si="183"/>
        <v>0</v>
      </c>
      <c r="M323" s="120">
        <f t="shared" si="183"/>
        <v>0</v>
      </c>
      <c r="N323" s="120">
        <f t="shared" si="183"/>
        <v>0</v>
      </c>
      <c r="O323" s="120">
        <f t="shared" si="183"/>
        <v>0</v>
      </c>
      <c r="P323" s="120">
        <f t="shared" si="183"/>
        <v>0</v>
      </c>
      <c r="Q323" s="120">
        <f t="shared" si="183"/>
        <v>0</v>
      </c>
      <c r="R323" s="120">
        <f t="shared" si="183"/>
        <v>1</v>
      </c>
      <c r="S323" s="120">
        <f t="shared" si="183"/>
        <v>0</v>
      </c>
      <c r="T323" s="120">
        <f t="shared" si="183"/>
        <v>0</v>
      </c>
      <c r="U323" s="120">
        <f t="shared" si="183"/>
        <v>0</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1</v>
      </c>
      <c r="AJ323" s="120">
        <f t="shared" si="182"/>
        <v>1</v>
      </c>
      <c r="AK323" s="120">
        <f t="shared" si="182"/>
        <v>0</v>
      </c>
      <c r="AL323" s="120">
        <f t="shared" si="182"/>
        <v>0</v>
      </c>
      <c r="AM323" s="120">
        <f t="shared" si="182"/>
        <v>0</v>
      </c>
      <c r="AN323" s="120">
        <f t="shared" si="182"/>
        <v>0</v>
      </c>
      <c r="AO323" s="120">
        <f t="shared" si="182"/>
        <v>0</v>
      </c>
      <c r="AP323" s="120">
        <f t="shared" si="180"/>
        <v>0</v>
      </c>
      <c r="AQ323" s="120">
        <f t="shared" si="180"/>
        <v>1</v>
      </c>
      <c r="AR323" s="120">
        <f t="shared" si="180"/>
        <v>0</v>
      </c>
      <c r="AS323" s="120">
        <f t="shared" si="180"/>
        <v>0</v>
      </c>
      <c r="AT323" s="120">
        <f t="shared" si="180"/>
        <v>0</v>
      </c>
      <c r="AU323" s="120">
        <f t="shared" si="180"/>
        <v>0</v>
      </c>
      <c r="AV323" s="120">
        <f t="shared" si="180"/>
        <v>0</v>
      </c>
      <c r="AW323" s="120">
        <f t="shared" si="180"/>
        <v>0</v>
      </c>
      <c r="AX323" s="120">
        <f t="shared" si="180"/>
        <v>0</v>
      </c>
      <c r="AY323" s="120">
        <f t="shared" si="178"/>
        <v>3</v>
      </c>
      <c r="AZ323" s="20" t="s">
        <v>139</v>
      </c>
    </row>
    <row r="324" spans="1:52">
      <c r="A324" s="120" t="s">
        <v>165</v>
      </c>
      <c r="B324" s="120">
        <f t="shared" si="183"/>
        <v>0</v>
      </c>
      <c r="C324" s="120">
        <f t="shared" si="183"/>
        <v>1</v>
      </c>
      <c r="D324" s="120">
        <f t="shared" si="183"/>
        <v>0</v>
      </c>
      <c r="E324" s="120">
        <f t="shared" si="183"/>
        <v>1</v>
      </c>
      <c r="F324" s="120">
        <f t="shared" si="183"/>
        <v>0</v>
      </c>
      <c r="G324" s="120">
        <f t="shared" si="183"/>
        <v>0</v>
      </c>
      <c r="H324" s="120">
        <f t="shared" si="183"/>
        <v>0</v>
      </c>
      <c r="I324" s="120">
        <f t="shared" si="183"/>
        <v>1</v>
      </c>
      <c r="J324" s="120">
        <f t="shared" si="183"/>
        <v>0</v>
      </c>
      <c r="K324" s="120">
        <f t="shared" si="183"/>
        <v>1</v>
      </c>
      <c r="L324" s="120">
        <f t="shared" si="183"/>
        <v>0</v>
      </c>
      <c r="M324" s="120">
        <f t="shared" si="183"/>
        <v>1</v>
      </c>
      <c r="N324" s="120">
        <f t="shared" si="183"/>
        <v>0</v>
      </c>
      <c r="O324" s="120">
        <f t="shared" si="183"/>
        <v>0</v>
      </c>
      <c r="P324" s="120">
        <f t="shared" si="183"/>
        <v>0</v>
      </c>
      <c r="Q324" s="120">
        <f t="shared" ref="Q324:Y324" si="184">IF(IFERROR(FIND($A$301,Q27,1),0)=0,0,1)</f>
        <v>1</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1</v>
      </c>
      <c r="AC324" s="120">
        <f t="shared" si="182"/>
        <v>0</v>
      </c>
      <c r="AD324" s="120">
        <f t="shared" si="182"/>
        <v>1</v>
      </c>
      <c r="AE324" s="120">
        <f t="shared" si="182"/>
        <v>0</v>
      </c>
      <c r="AF324" s="120">
        <f t="shared" si="182"/>
        <v>0</v>
      </c>
      <c r="AG324" s="120">
        <f t="shared" si="182"/>
        <v>0</v>
      </c>
      <c r="AH324" s="120">
        <f t="shared" si="182"/>
        <v>1</v>
      </c>
      <c r="AI324" s="120">
        <f t="shared" si="182"/>
        <v>0</v>
      </c>
      <c r="AJ324" s="120">
        <f t="shared" si="182"/>
        <v>1</v>
      </c>
      <c r="AK324" s="120">
        <f t="shared" si="182"/>
        <v>0</v>
      </c>
      <c r="AL324" s="120">
        <f t="shared" si="182"/>
        <v>1</v>
      </c>
      <c r="AM324" s="120">
        <f t="shared" si="182"/>
        <v>0</v>
      </c>
      <c r="AN324" s="120">
        <f t="shared" si="182"/>
        <v>0</v>
      </c>
      <c r="AO324" s="120">
        <f t="shared" si="182"/>
        <v>0</v>
      </c>
      <c r="AP324" s="120">
        <f t="shared" si="180"/>
        <v>1</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6</v>
      </c>
      <c r="AZ324" s="20" t="s">
        <v>139</v>
      </c>
    </row>
    <row r="325" spans="1:52">
      <c r="A325" s="120" t="s">
        <v>166</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0</v>
      </c>
      <c r="AZ325" s="20" t="s">
        <v>139</v>
      </c>
    </row>
    <row r="326" spans="1:52">
      <c r="A326" s="120" t="s">
        <v>167</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0</v>
      </c>
      <c r="AZ326" s="20" t="s">
        <v>139</v>
      </c>
    </row>
    <row r="327" spans="1:52">
      <c r="A327" s="120" t="s">
        <v>168</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0</v>
      </c>
      <c r="AZ327" s="20" t="s">
        <v>139</v>
      </c>
    </row>
    <row r="328" spans="1:52">
      <c r="A328" s="120" t="s">
        <v>169</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0</v>
      </c>
      <c r="AY328" s="120">
        <f t="shared" si="178"/>
        <v>0</v>
      </c>
      <c r="AZ328" s="20" t="s">
        <v>139</v>
      </c>
    </row>
    <row r="329" spans="1:52">
      <c r="A329" s="120" t="s">
        <v>170</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0</v>
      </c>
      <c r="AZ329" s="20" t="s">
        <v>139</v>
      </c>
    </row>
    <row r="330" spans="1:52">
      <c r="A330" s="120" t="s">
        <v>171</v>
      </c>
      <c r="B330" s="120">
        <f t="shared" si="185"/>
        <v>0</v>
      </c>
      <c r="C330" s="120">
        <f t="shared" si="185"/>
        <v>0</v>
      </c>
      <c r="D330" s="120">
        <f t="shared" si="185"/>
        <v>0</v>
      </c>
      <c r="E330" s="120">
        <f t="shared" si="185"/>
        <v>0</v>
      </c>
      <c r="F330" s="120">
        <f t="shared" si="185"/>
        <v>0</v>
      </c>
      <c r="G330" s="120">
        <f t="shared" si="185"/>
        <v>0</v>
      </c>
      <c r="H330" s="120">
        <f t="shared" si="185"/>
        <v>0</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1</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1</v>
      </c>
      <c r="AV330" s="120">
        <f t="shared" si="186"/>
        <v>0</v>
      </c>
      <c r="AW330" s="120">
        <f t="shared" si="186"/>
        <v>0</v>
      </c>
      <c r="AX330" s="120">
        <f t="shared" si="186"/>
        <v>0</v>
      </c>
      <c r="AY330" s="120">
        <f t="shared" si="178"/>
        <v>1</v>
      </c>
      <c r="AZ330" s="20" t="s">
        <v>139</v>
      </c>
    </row>
    <row r="331" spans="1:52">
      <c r="A331" s="120" t="s">
        <v>172</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0</v>
      </c>
      <c r="AZ331" s="20" t="s">
        <v>139</v>
      </c>
    </row>
    <row r="332" spans="1:52">
      <c r="A332" s="120" t="s">
        <v>173</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139</v>
      </c>
    </row>
    <row r="334" spans="1:52">
      <c r="A334" s="134" t="s">
        <v>140</v>
      </c>
    </row>
    <row r="335" spans="1:52">
      <c r="A335" s="120" t="s">
        <v>143</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140</v>
      </c>
    </row>
    <row r="336" spans="1:52">
      <c r="A336" s="120" t="s">
        <v>144</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140</v>
      </c>
    </row>
    <row r="337" spans="1:52">
      <c r="A337" s="120" t="s">
        <v>145</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140</v>
      </c>
    </row>
    <row r="338" spans="1:52">
      <c r="A338" s="120" t="s">
        <v>146</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140</v>
      </c>
    </row>
    <row r="339" spans="1:52">
      <c r="A339" s="120" t="s">
        <v>147</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140</v>
      </c>
    </row>
    <row r="340" spans="1:52">
      <c r="A340" s="120" t="s">
        <v>148</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140</v>
      </c>
    </row>
    <row r="341" spans="1:52">
      <c r="A341" s="120" t="s">
        <v>149</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140</v>
      </c>
    </row>
    <row r="342" spans="1:52">
      <c r="A342" s="120" t="s">
        <v>150</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140</v>
      </c>
    </row>
    <row r="343" spans="1:52">
      <c r="A343" s="120" t="s">
        <v>151</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140</v>
      </c>
    </row>
    <row r="344" spans="1:52">
      <c r="A344" s="120" t="s">
        <v>152</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140</v>
      </c>
    </row>
    <row r="345" spans="1:52">
      <c r="A345" s="120" t="s">
        <v>153</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140</v>
      </c>
    </row>
    <row r="346" spans="1:52">
      <c r="A346" s="120" t="s">
        <v>154</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140</v>
      </c>
    </row>
    <row r="347" spans="1:52">
      <c r="A347" s="120" t="s">
        <v>155</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140</v>
      </c>
    </row>
    <row r="348" spans="1:52">
      <c r="A348" s="120" t="s">
        <v>156</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140</v>
      </c>
    </row>
    <row r="349" spans="1:52">
      <c r="A349" s="120" t="s">
        <v>157</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140</v>
      </c>
    </row>
    <row r="350" spans="1:52">
      <c r="A350" s="120" t="s">
        <v>158</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140</v>
      </c>
    </row>
    <row r="351" spans="1:52">
      <c r="A351" s="120" t="s">
        <v>159</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1</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1</v>
      </c>
      <c r="AX351" s="120">
        <f t="shared" si="193"/>
        <v>0</v>
      </c>
      <c r="AY351" s="120">
        <f t="shared" si="191"/>
        <v>1</v>
      </c>
      <c r="AZ351" s="20" t="s">
        <v>140</v>
      </c>
    </row>
    <row r="352" spans="1:52">
      <c r="A352" s="120" t="s">
        <v>160</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140</v>
      </c>
    </row>
    <row r="353" spans="1:52">
      <c r="A353" s="120" t="s">
        <v>161</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140</v>
      </c>
    </row>
    <row r="354" spans="1:52">
      <c r="A354" s="120" t="s">
        <v>162</v>
      </c>
      <c r="B354" s="120">
        <f t="shared" si="196"/>
        <v>0</v>
      </c>
      <c r="C354" s="120">
        <f t="shared" si="196"/>
        <v>0</v>
      </c>
      <c r="D354" s="120">
        <f t="shared" si="196"/>
        <v>0</v>
      </c>
      <c r="E354" s="120">
        <f t="shared" si="196"/>
        <v>0</v>
      </c>
      <c r="F354" s="120">
        <f t="shared" si="196"/>
        <v>0</v>
      </c>
      <c r="G354" s="120">
        <f t="shared" si="196"/>
        <v>0</v>
      </c>
      <c r="H354" s="120">
        <f t="shared" si="196"/>
        <v>1</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1</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1</v>
      </c>
      <c r="AZ354" s="20" t="s">
        <v>140</v>
      </c>
    </row>
    <row r="355" spans="1:52">
      <c r="A355" s="120" t="s">
        <v>163</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1</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0.5</v>
      </c>
      <c r="AX355" s="120">
        <f t="shared" si="193"/>
        <v>0</v>
      </c>
      <c r="AY355" s="120">
        <f t="shared" si="191"/>
        <v>0.5</v>
      </c>
      <c r="AZ355" s="20" t="s">
        <v>140</v>
      </c>
    </row>
    <row r="356" spans="1:52">
      <c r="A356" s="120" t="s">
        <v>164</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1</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0.5</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0.5</v>
      </c>
      <c r="AZ356" s="20" t="s">
        <v>140</v>
      </c>
    </row>
    <row r="357" spans="1:52">
      <c r="A357" s="120" t="s">
        <v>165</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140</v>
      </c>
    </row>
    <row r="358" spans="1:52">
      <c r="A358" s="120" t="s">
        <v>166</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140</v>
      </c>
    </row>
    <row r="359" spans="1:52">
      <c r="A359" s="120" t="s">
        <v>167</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140</v>
      </c>
    </row>
    <row r="360" spans="1:52">
      <c r="A360" s="120" t="s">
        <v>168</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140</v>
      </c>
    </row>
    <row r="361" spans="1:52">
      <c r="A361" s="120" t="s">
        <v>169</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140</v>
      </c>
    </row>
    <row r="362" spans="1:52">
      <c r="A362" s="120" t="s">
        <v>170</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140</v>
      </c>
    </row>
    <row r="363" spans="1:52">
      <c r="A363" s="120" t="s">
        <v>171</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140</v>
      </c>
    </row>
    <row r="364" spans="1:52">
      <c r="A364" s="120" t="s">
        <v>172</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140</v>
      </c>
    </row>
    <row r="365" spans="1:52">
      <c r="A365" s="120" t="s">
        <v>173</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140</v>
      </c>
    </row>
    <row r="368" spans="1:52">
      <c r="A368" s="134" t="s">
        <v>243</v>
      </c>
    </row>
    <row r="369" spans="1:52">
      <c r="A369" s="120" t="s">
        <v>143</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08">
        <f>IF(B369=0,0,B369/AA5)</f>
        <v>0</v>
      </c>
      <c r="AB369" s="208">
        <f t="shared" ref="AB369:AX380" si="202">IF(C369=0,0,C369/AB5)</f>
        <v>0</v>
      </c>
      <c r="AC369" s="208">
        <f t="shared" si="202"/>
        <v>0</v>
      </c>
      <c r="AD369" s="208">
        <f t="shared" si="202"/>
        <v>0</v>
      </c>
      <c r="AE369" s="208">
        <f t="shared" si="202"/>
        <v>0</v>
      </c>
      <c r="AF369" s="208">
        <f t="shared" si="202"/>
        <v>0</v>
      </c>
      <c r="AG369" s="208">
        <f t="shared" si="202"/>
        <v>0</v>
      </c>
      <c r="AH369" s="208">
        <f t="shared" si="202"/>
        <v>0</v>
      </c>
      <c r="AI369" s="208">
        <f t="shared" si="202"/>
        <v>0</v>
      </c>
      <c r="AJ369" s="208">
        <f t="shared" si="202"/>
        <v>0</v>
      </c>
      <c r="AK369" s="208">
        <f t="shared" si="202"/>
        <v>0</v>
      </c>
      <c r="AL369" s="208">
        <f t="shared" si="202"/>
        <v>0</v>
      </c>
      <c r="AM369" s="208">
        <f t="shared" si="202"/>
        <v>0</v>
      </c>
      <c r="AN369" s="208">
        <f t="shared" si="202"/>
        <v>0</v>
      </c>
      <c r="AO369" s="208">
        <f t="shared" si="202"/>
        <v>0</v>
      </c>
      <c r="AP369" s="208">
        <f t="shared" si="202"/>
        <v>0</v>
      </c>
      <c r="AQ369" s="208">
        <f t="shared" si="202"/>
        <v>0</v>
      </c>
      <c r="AR369" s="208">
        <f t="shared" si="202"/>
        <v>0</v>
      </c>
      <c r="AS369" s="208">
        <f t="shared" si="202"/>
        <v>0</v>
      </c>
      <c r="AT369" s="208">
        <f t="shared" si="202"/>
        <v>0</v>
      </c>
      <c r="AU369" s="208">
        <f t="shared" si="202"/>
        <v>0</v>
      </c>
      <c r="AV369" s="208">
        <f t="shared" si="202"/>
        <v>0</v>
      </c>
      <c r="AW369" s="208">
        <f t="shared" si="202"/>
        <v>0</v>
      </c>
      <c r="AX369" s="208">
        <f t="shared" si="202"/>
        <v>0</v>
      </c>
      <c r="AY369" s="120">
        <f t="shared" ref="AY369:AY399" si="203">SUM(AA369:AX369)</f>
        <v>0</v>
      </c>
      <c r="AZ369" s="20" t="s">
        <v>243</v>
      </c>
    </row>
    <row r="370" spans="1:52">
      <c r="A370" s="120" t="s">
        <v>144</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08">
        <f t="shared" ref="AA370:AC385" si="205">IF(B370=0,0,B370/AA6)</f>
        <v>0</v>
      </c>
      <c r="AB370" s="208">
        <f t="shared" si="202"/>
        <v>0</v>
      </c>
      <c r="AC370" s="208">
        <f t="shared" si="202"/>
        <v>0</v>
      </c>
      <c r="AD370" s="208">
        <f t="shared" si="202"/>
        <v>0</v>
      </c>
      <c r="AE370" s="208">
        <f t="shared" si="202"/>
        <v>0</v>
      </c>
      <c r="AF370" s="208">
        <f t="shared" si="202"/>
        <v>0</v>
      </c>
      <c r="AG370" s="208">
        <f t="shared" si="202"/>
        <v>0</v>
      </c>
      <c r="AH370" s="208">
        <f t="shared" si="202"/>
        <v>0</v>
      </c>
      <c r="AI370" s="208">
        <f t="shared" si="202"/>
        <v>0</v>
      </c>
      <c r="AJ370" s="208">
        <f t="shared" si="202"/>
        <v>0</v>
      </c>
      <c r="AK370" s="208">
        <f t="shared" si="202"/>
        <v>0</v>
      </c>
      <c r="AL370" s="208">
        <f t="shared" si="202"/>
        <v>0</v>
      </c>
      <c r="AM370" s="208">
        <f t="shared" si="202"/>
        <v>0</v>
      </c>
      <c r="AN370" s="208">
        <f t="shared" si="202"/>
        <v>0</v>
      </c>
      <c r="AO370" s="208">
        <f t="shared" si="202"/>
        <v>0</v>
      </c>
      <c r="AP370" s="208">
        <f t="shared" si="202"/>
        <v>0</v>
      </c>
      <c r="AQ370" s="208">
        <f t="shared" si="202"/>
        <v>0</v>
      </c>
      <c r="AR370" s="208">
        <f t="shared" si="202"/>
        <v>0</v>
      </c>
      <c r="AS370" s="208">
        <f t="shared" si="202"/>
        <v>0</v>
      </c>
      <c r="AT370" s="208">
        <f t="shared" si="202"/>
        <v>0</v>
      </c>
      <c r="AU370" s="208">
        <f t="shared" si="202"/>
        <v>0</v>
      </c>
      <c r="AV370" s="208">
        <f t="shared" si="202"/>
        <v>0</v>
      </c>
      <c r="AW370" s="208">
        <f t="shared" si="202"/>
        <v>0</v>
      </c>
      <c r="AX370" s="208">
        <f t="shared" si="202"/>
        <v>0</v>
      </c>
      <c r="AY370" s="120">
        <f t="shared" si="203"/>
        <v>0</v>
      </c>
      <c r="AZ370" s="20" t="s">
        <v>243</v>
      </c>
    </row>
    <row r="371" spans="1:52">
      <c r="A371" s="120" t="s">
        <v>145</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08">
        <f t="shared" si="205"/>
        <v>0</v>
      </c>
      <c r="AB371" s="208">
        <f t="shared" si="202"/>
        <v>0</v>
      </c>
      <c r="AC371" s="208">
        <f t="shared" si="202"/>
        <v>0</v>
      </c>
      <c r="AD371" s="208">
        <f t="shared" si="202"/>
        <v>0</v>
      </c>
      <c r="AE371" s="208">
        <f t="shared" si="202"/>
        <v>0</v>
      </c>
      <c r="AF371" s="208">
        <f t="shared" si="202"/>
        <v>0</v>
      </c>
      <c r="AG371" s="208">
        <f t="shared" si="202"/>
        <v>0</v>
      </c>
      <c r="AH371" s="208">
        <f t="shared" si="202"/>
        <v>0</v>
      </c>
      <c r="AI371" s="208">
        <f t="shared" si="202"/>
        <v>0</v>
      </c>
      <c r="AJ371" s="208">
        <f t="shared" si="202"/>
        <v>0</v>
      </c>
      <c r="AK371" s="208">
        <f t="shared" si="202"/>
        <v>0</v>
      </c>
      <c r="AL371" s="208">
        <f t="shared" si="202"/>
        <v>0</v>
      </c>
      <c r="AM371" s="208">
        <f t="shared" si="202"/>
        <v>0</v>
      </c>
      <c r="AN371" s="208">
        <f t="shared" si="202"/>
        <v>0</v>
      </c>
      <c r="AO371" s="208">
        <f t="shared" si="202"/>
        <v>0</v>
      </c>
      <c r="AP371" s="208">
        <f t="shared" si="202"/>
        <v>0</v>
      </c>
      <c r="AQ371" s="208">
        <f t="shared" si="202"/>
        <v>0</v>
      </c>
      <c r="AR371" s="208">
        <f t="shared" si="202"/>
        <v>0</v>
      </c>
      <c r="AS371" s="208">
        <f t="shared" si="202"/>
        <v>0</v>
      </c>
      <c r="AT371" s="208">
        <f t="shared" si="202"/>
        <v>0</v>
      </c>
      <c r="AU371" s="208">
        <f t="shared" si="202"/>
        <v>0</v>
      </c>
      <c r="AV371" s="208">
        <f t="shared" si="202"/>
        <v>0</v>
      </c>
      <c r="AW371" s="208">
        <f t="shared" si="202"/>
        <v>0</v>
      </c>
      <c r="AX371" s="208">
        <f t="shared" si="202"/>
        <v>0</v>
      </c>
      <c r="AY371" s="120">
        <f t="shared" si="203"/>
        <v>0</v>
      </c>
      <c r="AZ371" s="20" t="s">
        <v>243</v>
      </c>
    </row>
    <row r="372" spans="1:52">
      <c r="A372" s="120" t="s">
        <v>146</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08">
        <f t="shared" si="205"/>
        <v>0</v>
      </c>
      <c r="AB372" s="208">
        <f t="shared" si="202"/>
        <v>0</v>
      </c>
      <c r="AC372" s="208">
        <f t="shared" si="202"/>
        <v>0</v>
      </c>
      <c r="AD372" s="208">
        <f t="shared" si="202"/>
        <v>0</v>
      </c>
      <c r="AE372" s="208">
        <f t="shared" si="202"/>
        <v>0</v>
      </c>
      <c r="AF372" s="208">
        <f t="shared" si="202"/>
        <v>0</v>
      </c>
      <c r="AG372" s="208">
        <f t="shared" si="202"/>
        <v>0</v>
      </c>
      <c r="AH372" s="208">
        <f t="shared" si="202"/>
        <v>0</v>
      </c>
      <c r="AI372" s="208">
        <f t="shared" si="202"/>
        <v>0</v>
      </c>
      <c r="AJ372" s="208">
        <f t="shared" si="202"/>
        <v>0</v>
      </c>
      <c r="AK372" s="208">
        <f t="shared" si="202"/>
        <v>0</v>
      </c>
      <c r="AL372" s="208">
        <f t="shared" si="202"/>
        <v>0</v>
      </c>
      <c r="AM372" s="208">
        <f t="shared" si="202"/>
        <v>0</v>
      </c>
      <c r="AN372" s="208">
        <f t="shared" si="202"/>
        <v>0</v>
      </c>
      <c r="AO372" s="208">
        <f t="shared" si="202"/>
        <v>0</v>
      </c>
      <c r="AP372" s="208">
        <f t="shared" si="202"/>
        <v>0</v>
      </c>
      <c r="AQ372" s="208">
        <f t="shared" si="202"/>
        <v>0</v>
      </c>
      <c r="AR372" s="208">
        <f t="shared" si="202"/>
        <v>0</v>
      </c>
      <c r="AS372" s="208">
        <f t="shared" si="202"/>
        <v>0</v>
      </c>
      <c r="AT372" s="208">
        <f t="shared" si="202"/>
        <v>0</v>
      </c>
      <c r="AU372" s="208">
        <f t="shared" si="202"/>
        <v>0</v>
      </c>
      <c r="AV372" s="208">
        <f t="shared" si="202"/>
        <v>0</v>
      </c>
      <c r="AW372" s="208">
        <f t="shared" si="202"/>
        <v>0</v>
      </c>
      <c r="AX372" s="208">
        <f t="shared" si="202"/>
        <v>0</v>
      </c>
      <c r="AY372" s="120">
        <f t="shared" si="203"/>
        <v>0</v>
      </c>
      <c r="AZ372" s="20" t="s">
        <v>243</v>
      </c>
    </row>
    <row r="373" spans="1:52">
      <c r="A373" s="120" t="s">
        <v>147</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08">
        <f t="shared" si="205"/>
        <v>0</v>
      </c>
      <c r="AB373" s="208">
        <f t="shared" si="202"/>
        <v>0</v>
      </c>
      <c r="AC373" s="208">
        <f t="shared" si="202"/>
        <v>0</v>
      </c>
      <c r="AD373" s="208">
        <f t="shared" si="202"/>
        <v>0</v>
      </c>
      <c r="AE373" s="208">
        <f t="shared" si="202"/>
        <v>0</v>
      </c>
      <c r="AF373" s="208">
        <f t="shared" si="202"/>
        <v>0</v>
      </c>
      <c r="AG373" s="208">
        <f t="shared" si="202"/>
        <v>0</v>
      </c>
      <c r="AH373" s="208">
        <f t="shared" si="202"/>
        <v>0</v>
      </c>
      <c r="AI373" s="208">
        <f t="shared" si="202"/>
        <v>0</v>
      </c>
      <c r="AJ373" s="208">
        <f t="shared" si="202"/>
        <v>0</v>
      </c>
      <c r="AK373" s="208">
        <f t="shared" si="202"/>
        <v>0</v>
      </c>
      <c r="AL373" s="208">
        <f t="shared" si="202"/>
        <v>0</v>
      </c>
      <c r="AM373" s="208">
        <f t="shared" si="202"/>
        <v>0</v>
      </c>
      <c r="AN373" s="208">
        <f t="shared" si="202"/>
        <v>0</v>
      </c>
      <c r="AO373" s="208">
        <f t="shared" si="202"/>
        <v>0</v>
      </c>
      <c r="AP373" s="208">
        <f t="shared" si="202"/>
        <v>0</v>
      </c>
      <c r="AQ373" s="208">
        <f t="shared" si="202"/>
        <v>0</v>
      </c>
      <c r="AR373" s="208">
        <f t="shared" si="202"/>
        <v>0</v>
      </c>
      <c r="AS373" s="208">
        <f t="shared" si="202"/>
        <v>0</v>
      </c>
      <c r="AT373" s="208">
        <f t="shared" si="202"/>
        <v>0</v>
      </c>
      <c r="AU373" s="208">
        <f t="shared" si="202"/>
        <v>0</v>
      </c>
      <c r="AV373" s="208">
        <f t="shared" si="202"/>
        <v>0</v>
      </c>
      <c r="AW373" s="208">
        <f t="shared" si="202"/>
        <v>0</v>
      </c>
      <c r="AX373" s="208">
        <f t="shared" si="202"/>
        <v>0</v>
      </c>
      <c r="AY373" s="120">
        <f t="shared" si="203"/>
        <v>0</v>
      </c>
      <c r="AZ373" s="20" t="s">
        <v>243</v>
      </c>
    </row>
    <row r="374" spans="1:52">
      <c r="A374" s="120" t="s">
        <v>148</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08">
        <f t="shared" si="205"/>
        <v>0</v>
      </c>
      <c r="AB374" s="208">
        <f t="shared" si="202"/>
        <v>0</v>
      </c>
      <c r="AC374" s="208">
        <f t="shared" si="202"/>
        <v>0</v>
      </c>
      <c r="AD374" s="208">
        <f t="shared" si="202"/>
        <v>0</v>
      </c>
      <c r="AE374" s="208">
        <f t="shared" si="202"/>
        <v>0</v>
      </c>
      <c r="AF374" s="208">
        <f t="shared" si="202"/>
        <v>0</v>
      </c>
      <c r="AG374" s="208">
        <f t="shared" si="202"/>
        <v>0</v>
      </c>
      <c r="AH374" s="208">
        <f t="shared" si="202"/>
        <v>0</v>
      </c>
      <c r="AI374" s="208">
        <f t="shared" si="202"/>
        <v>0</v>
      </c>
      <c r="AJ374" s="208">
        <f t="shared" si="202"/>
        <v>0</v>
      </c>
      <c r="AK374" s="208">
        <f t="shared" si="202"/>
        <v>0</v>
      </c>
      <c r="AL374" s="208">
        <f t="shared" si="202"/>
        <v>0</v>
      </c>
      <c r="AM374" s="208">
        <f t="shared" si="202"/>
        <v>0</v>
      </c>
      <c r="AN374" s="208">
        <f t="shared" si="202"/>
        <v>0</v>
      </c>
      <c r="AO374" s="208">
        <f t="shared" si="202"/>
        <v>0</v>
      </c>
      <c r="AP374" s="208">
        <f t="shared" si="202"/>
        <v>0</v>
      </c>
      <c r="AQ374" s="208">
        <f t="shared" si="202"/>
        <v>0</v>
      </c>
      <c r="AR374" s="208">
        <f t="shared" si="202"/>
        <v>0</v>
      </c>
      <c r="AS374" s="208">
        <f t="shared" si="202"/>
        <v>0</v>
      </c>
      <c r="AT374" s="208">
        <f t="shared" si="202"/>
        <v>0</v>
      </c>
      <c r="AU374" s="208">
        <f t="shared" si="202"/>
        <v>0</v>
      </c>
      <c r="AV374" s="208">
        <f t="shared" si="202"/>
        <v>0</v>
      </c>
      <c r="AW374" s="208">
        <f t="shared" si="202"/>
        <v>0</v>
      </c>
      <c r="AX374" s="208">
        <f t="shared" si="202"/>
        <v>0</v>
      </c>
      <c r="AY374" s="120">
        <f t="shared" si="203"/>
        <v>0</v>
      </c>
      <c r="AZ374" s="20" t="s">
        <v>243</v>
      </c>
    </row>
    <row r="375" spans="1:52">
      <c r="A375" s="120" t="s">
        <v>149</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08">
        <f t="shared" si="205"/>
        <v>0</v>
      </c>
      <c r="AB375" s="208">
        <f t="shared" si="202"/>
        <v>0</v>
      </c>
      <c r="AC375" s="208">
        <f t="shared" si="202"/>
        <v>0</v>
      </c>
      <c r="AD375" s="208">
        <f t="shared" si="202"/>
        <v>0</v>
      </c>
      <c r="AE375" s="208">
        <f t="shared" si="202"/>
        <v>0</v>
      </c>
      <c r="AF375" s="208">
        <f t="shared" si="202"/>
        <v>0</v>
      </c>
      <c r="AG375" s="208">
        <f t="shared" si="202"/>
        <v>0</v>
      </c>
      <c r="AH375" s="208">
        <f t="shared" si="202"/>
        <v>0</v>
      </c>
      <c r="AI375" s="208">
        <f t="shared" si="202"/>
        <v>0</v>
      </c>
      <c r="AJ375" s="208">
        <f t="shared" si="202"/>
        <v>0</v>
      </c>
      <c r="AK375" s="208">
        <f t="shared" si="202"/>
        <v>0</v>
      </c>
      <c r="AL375" s="208">
        <f t="shared" si="202"/>
        <v>0</v>
      </c>
      <c r="AM375" s="208">
        <f t="shared" si="202"/>
        <v>0</v>
      </c>
      <c r="AN375" s="208">
        <f t="shared" si="202"/>
        <v>0</v>
      </c>
      <c r="AO375" s="208">
        <f t="shared" si="202"/>
        <v>0</v>
      </c>
      <c r="AP375" s="208">
        <f t="shared" si="202"/>
        <v>0</v>
      </c>
      <c r="AQ375" s="208">
        <f t="shared" si="202"/>
        <v>0</v>
      </c>
      <c r="AR375" s="208">
        <f t="shared" si="202"/>
        <v>0</v>
      </c>
      <c r="AS375" s="208">
        <f t="shared" si="202"/>
        <v>0</v>
      </c>
      <c r="AT375" s="208">
        <f t="shared" si="202"/>
        <v>0</v>
      </c>
      <c r="AU375" s="208">
        <f t="shared" si="202"/>
        <v>0</v>
      </c>
      <c r="AV375" s="208">
        <f t="shared" si="202"/>
        <v>0</v>
      </c>
      <c r="AW375" s="208">
        <f t="shared" si="202"/>
        <v>0</v>
      </c>
      <c r="AX375" s="208">
        <f t="shared" si="202"/>
        <v>0</v>
      </c>
      <c r="AY375" s="120">
        <f t="shared" si="203"/>
        <v>0</v>
      </c>
      <c r="AZ375" s="20" t="s">
        <v>243</v>
      </c>
    </row>
    <row r="376" spans="1:52">
      <c r="A376" s="120" t="s">
        <v>150</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08">
        <f t="shared" si="205"/>
        <v>0</v>
      </c>
      <c r="AB376" s="208">
        <f t="shared" si="202"/>
        <v>0</v>
      </c>
      <c r="AC376" s="208">
        <f t="shared" si="202"/>
        <v>0</v>
      </c>
      <c r="AD376" s="208">
        <f t="shared" si="202"/>
        <v>0</v>
      </c>
      <c r="AE376" s="208">
        <f t="shared" si="202"/>
        <v>0</v>
      </c>
      <c r="AF376" s="208">
        <f t="shared" si="202"/>
        <v>0</v>
      </c>
      <c r="AG376" s="208">
        <f t="shared" si="202"/>
        <v>0</v>
      </c>
      <c r="AH376" s="208">
        <f t="shared" si="202"/>
        <v>0</v>
      </c>
      <c r="AI376" s="208">
        <f t="shared" si="202"/>
        <v>0</v>
      </c>
      <c r="AJ376" s="208">
        <f t="shared" si="202"/>
        <v>0</v>
      </c>
      <c r="AK376" s="208">
        <f t="shared" si="202"/>
        <v>0</v>
      </c>
      <c r="AL376" s="208">
        <f t="shared" si="202"/>
        <v>0</v>
      </c>
      <c r="AM376" s="208">
        <f t="shared" si="202"/>
        <v>0</v>
      </c>
      <c r="AN376" s="208">
        <f t="shared" si="202"/>
        <v>0</v>
      </c>
      <c r="AO376" s="208">
        <f t="shared" si="202"/>
        <v>0</v>
      </c>
      <c r="AP376" s="208">
        <f t="shared" si="202"/>
        <v>0</v>
      </c>
      <c r="AQ376" s="208">
        <f t="shared" si="202"/>
        <v>0</v>
      </c>
      <c r="AR376" s="208">
        <f t="shared" si="202"/>
        <v>0</v>
      </c>
      <c r="AS376" s="208">
        <f t="shared" si="202"/>
        <v>0</v>
      </c>
      <c r="AT376" s="208">
        <f t="shared" si="202"/>
        <v>0</v>
      </c>
      <c r="AU376" s="208">
        <f t="shared" si="202"/>
        <v>0</v>
      </c>
      <c r="AV376" s="208">
        <f t="shared" si="202"/>
        <v>0</v>
      </c>
      <c r="AW376" s="208">
        <f t="shared" si="202"/>
        <v>0</v>
      </c>
      <c r="AX376" s="208">
        <f t="shared" si="202"/>
        <v>0</v>
      </c>
      <c r="AY376" s="120">
        <f t="shared" si="203"/>
        <v>0</v>
      </c>
      <c r="AZ376" s="20" t="s">
        <v>243</v>
      </c>
    </row>
    <row r="377" spans="1:52">
      <c r="A377" s="120" t="s">
        <v>151</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08">
        <f t="shared" si="205"/>
        <v>0</v>
      </c>
      <c r="AB377" s="208">
        <f t="shared" si="202"/>
        <v>0</v>
      </c>
      <c r="AC377" s="208">
        <f t="shared" si="202"/>
        <v>0</v>
      </c>
      <c r="AD377" s="208">
        <f t="shared" si="202"/>
        <v>0</v>
      </c>
      <c r="AE377" s="208">
        <f t="shared" si="202"/>
        <v>0</v>
      </c>
      <c r="AF377" s="208">
        <f t="shared" si="202"/>
        <v>0</v>
      </c>
      <c r="AG377" s="208">
        <f t="shared" si="202"/>
        <v>0</v>
      </c>
      <c r="AH377" s="208">
        <f t="shared" si="202"/>
        <v>0</v>
      </c>
      <c r="AI377" s="208">
        <f t="shared" si="202"/>
        <v>0</v>
      </c>
      <c r="AJ377" s="208">
        <f t="shared" si="202"/>
        <v>0</v>
      </c>
      <c r="AK377" s="208">
        <f t="shared" si="202"/>
        <v>0</v>
      </c>
      <c r="AL377" s="208">
        <f t="shared" si="202"/>
        <v>0</v>
      </c>
      <c r="AM377" s="208">
        <f t="shared" si="202"/>
        <v>0</v>
      </c>
      <c r="AN377" s="208">
        <f t="shared" si="202"/>
        <v>0</v>
      </c>
      <c r="AO377" s="208">
        <f t="shared" si="202"/>
        <v>0</v>
      </c>
      <c r="AP377" s="208">
        <f t="shared" si="202"/>
        <v>0</v>
      </c>
      <c r="AQ377" s="208">
        <f t="shared" si="202"/>
        <v>0</v>
      </c>
      <c r="AR377" s="208">
        <f t="shared" si="202"/>
        <v>0</v>
      </c>
      <c r="AS377" s="208">
        <f t="shared" si="202"/>
        <v>0</v>
      </c>
      <c r="AT377" s="208">
        <f t="shared" si="202"/>
        <v>0</v>
      </c>
      <c r="AU377" s="208">
        <f t="shared" si="202"/>
        <v>0</v>
      </c>
      <c r="AV377" s="208">
        <f t="shared" si="202"/>
        <v>0</v>
      </c>
      <c r="AW377" s="208">
        <f t="shared" si="202"/>
        <v>0</v>
      </c>
      <c r="AX377" s="208">
        <f t="shared" si="202"/>
        <v>0</v>
      </c>
      <c r="AY377" s="120">
        <f t="shared" si="203"/>
        <v>0</v>
      </c>
      <c r="AZ377" s="20" t="s">
        <v>243</v>
      </c>
    </row>
    <row r="378" spans="1:52">
      <c r="A378" s="120" t="s">
        <v>152</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08">
        <f t="shared" si="205"/>
        <v>0</v>
      </c>
      <c r="AB378" s="208">
        <f t="shared" si="202"/>
        <v>0</v>
      </c>
      <c r="AC378" s="208">
        <f t="shared" si="202"/>
        <v>0</v>
      </c>
      <c r="AD378" s="208">
        <f t="shared" si="202"/>
        <v>0</v>
      </c>
      <c r="AE378" s="208">
        <f t="shared" si="202"/>
        <v>0</v>
      </c>
      <c r="AF378" s="208">
        <f t="shared" si="202"/>
        <v>0</v>
      </c>
      <c r="AG378" s="208">
        <f t="shared" si="202"/>
        <v>0</v>
      </c>
      <c r="AH378" s="208">
        <f t="shared" si="202"/>
        <v>0</v>
      </c>
      <c r="AI378" s="208">
        <f t="shared" si="202"/>
        <v>0</v>
      </c>
      <c r="AJ378" s="208">
        <f t="shared" si="202"/>
        <v>0</v>
      </c>
      <c r="AK378" s="208">
        <f t="shared" si="202"/>
        <v>0</v>
      </c>
      <c r="AL378" s="208">
        <f t="shared" si="202"/>
        <v>0</v>
      </c>
      <c r="AM378" s="208">
        <f t="shared" si="202"/>
        <v>0</v>
      </c>
      <c r="AN378" s="208">
        <f t="shared" si="202"/>
        <v>0</v>
      </c>
      <c r="AO378" s="208">
        <f t="shared" si="202"/>
        <v>0</v>
      </c>
      <c r="AP378" s="208">
        <f t="shared" si="202"/>
        <v>0</v>
      </c>
      <c r="AQ378" s="208">
        <f t="shared" si="202"/>
        <v>0</v>
      </c>
      <c r="AR378" s="208">
        <f t="shared" si="202"/>
        <v>0</v>
      </c>
      <c r="AS378" s="208">
        <f t="shared" si="202"/>
        <v>0</v>
      </c>
      <c r="AT378" s="208">
        <f t="shared" si="202"/>
        <v>0</v>
      </c>
      <c r="AU378" s="208">
        <f t="shared" si="202"/>
        <v>0</v>
      </c>
      <c r="AV378" s="208">
        <f t="shared" si="202"/>
        <v>0</v>
      </c>
      <c r="AW378" s="208">
        <f t="shared" si="202"/>
        <v>0</v>
      </c>
      <c r="AX378" s="208">
        <f t="shared" si="202"/>
        <v>0</v>
      </c>
      <c r="AY378" s="120">
        <f t="shared" si="203"/>
        <v>0</v>
      </c>
      <c r="AZ378" s="20" t="s">
        <v>243</v>
      </c>
    </row>
    <row r="379" spans="1:52">
      <c r="A379" s="120" t="s">
        <v>153</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08">
        <f t="shared" si="205"/>
        <v>0</v>
      </c>
      <c r="AB379" s="208">
        <f t="shared" si="202"/>
        <v>0</v>
      </c>
      <c r="AC379" s="208">
        <f t="shared" si="202"/>
        <v>0</v>
      </c>
      <c r="AD379" s="208">
        <f t="shared" si="202"/>
        <v>0</v>
      </c>
      <c r="AE379" s="208">
        <f t="shared" si="202"/>
        <v>0</v>
      </c>
      <c r="AF379" s="208">
        <f t="shared" si="202"/>
        <v>0</v>
      </c>
      <c r="AG379" s="208">
        <f t="shared" si="202"/>
        <v>0</v>
      </c>
      <c r="AH379" s="208">
        <f t="shared" si="202"/>
        <v>0</v>
      </c>
      <c r="AI379" s="208">
        <f t="shared" si="202"/>
        <v>0</v>
      </c>
      <c r="AJ379" s="208">
        <f t="shared" si="202"/>
        <v>0</v>
      </c>
      <c r="AK379" s="208">
        <f t="shared" si="202"/>
        <v>0</v>
      </c>
      <c r="AL379" s="208">
        <f t="shared" si="202"/>
        <v>0</v>
      </c>
      <c r="AM379" s="208">
        <f t="shared" si="202"/>
        <v>0</v>
      </c>
      <c r="AN379" s="208">
        <f t="shared" si="202"/>
        <v>0</v>
      </c>
      <c r="AO379" s="208">
        <f t="shared" si="202"/>
        <v>0</v>
      </c>
      <c r="AP379" s="208">
        <f t="shared" si="202"/>
        <v>0</v>
      </c>
      <c r="AQ379" s="208">
        <f t="shared" si="202"/>
        <v>0</v>
      </c>
      <c r="AR379" s="208">
        <f t="shared" si="202"/>
        <v>0</v>
      </c>
      <c r="AS379" s="208">
        <f t="shared" si="202"/>
        <v>0</v>
      </c>
      <c r="AT379" s="208">
        <f t="shared" si="202"/>
        <v>0</v>
      </c>
      <c r="AU379" s="208">
        <f t="shared" si="202"/>
        <v>0</v>
      </c>
      <c r="AV379" s="208">
        <f t="shared" si="202"/>
        <v>0</v>
      </c>
      <c r="AW379" s="208">
        <f t="shared" si="202"/>
        <v>0</v>
      </c>
      <c r="AX379" s="208">
        <f t="shared" si="202"/>
        <v>0</v>
      </c>
      <c r="AY379" s="120">
        <f t="shared" si="203"/>
        <v>0</v>
      </c>
      <c r="AZ379" s="20" t="s">
        <v>243</v>
      </c>
    </row>
    <row r="380" spans="1:52">
      <c r="A380" s="120" t="s">
        <v>154</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08">
        <f t="shared" si="205"/>
        <v>0</v>
      </c>
      <c r="AB380" s="208">
        <f t="shared" si="202"/>
        <v>0</v>
      </c>
      <c r="AC380" s="208">
        <f t="shared" si="202"/>
        <v>0</v>
      </c>
      <c r="AD380" s="208">
        <f t="shared" ref="AD380:AX392" si="207">IF(E380=0,0,E380/AD16)</f>
        <v>0</v>
      </c>
      <c r="AE380" s="208">
        <f t="shared" si="207"/>
        <v>0</v>
      </c>
      <c r="AF380" s="208">
        <f t="shared" si="207"/>
        <v>0</v>
      </c>
      <c r="AG380" s="208">
        <f t="shared" si="207"/>
        <v>0</v>
      </c>
      <c r="AH380" s="208">
        <f t="shared" si="207"/>
        <v>0</v>
      </c>
      <c r="AI380" s="208">
        <f t="shared" si="207"/>
        <v>0</v>
      </c>
      <c r="AJ380" s="208">
        <f t="shared" si="207"/>
        <v>0</v>
      </c>
      <c r="AK380" s="208">
        <f t="shared" si="207"/>
        <v>0</v>
      </c>
      <c r="AL380" s="208">
        <f t="shared" si="207"/>
        <v>0</v>
      </c>
      <c r="AM380" s="208">
        <f t="shared" si="207"/>
        <v>0</v>
      </c>
      <c r="AN380" s="208">
        <f t="shared" si="207"/>
        <v>0</v>
      </c>
      <c r="AO380" s="208">
        <f t="shared" si="207"/>
        <v>0</v>
      </c>
      <c r="AP380" s="208">
        <f t="shared" si="207"/>
        <v>0</v>
      </c>
      <c r="AQ380" s="208">
        <f t="shared" si="207"/>
        <v>0</v>
      </c>
      <c r="AR380" s="208">
        <f t="shared" si="207"/>
        <v>0</v>
      </c>
      <c r="AS380" s="208">
        <f t="shared" si="207"/>
        <v>0</v>
      </c>
      <c r="AT380" s="208">
        <f t="shared" si="207"/>
        <v>0</v>
      </c>
      <c r="AU380" s="208">
        <f t="shared" si="207"/>
        <v>0</v>
      </c>
      <c r="AV380" s="208">
        <f t="shared" si="207"/>
        <v>0</v>
      </c>
      <c r="AW380" s="208">
        <f t="shared" si="207"/>
        <v>0</v>
      </c>
      <c r="AX380" s="208">
        <f t="shared" si="207"/>
        <v>0</v>
      </c>
      <c r="AY380" s="120">
        <f t="shared" si="203"/>
        <v>0</v>
      </c>
      <c r="AZ380" s="20" t="s">
        <v>243</v>
      </c>
    </row>
    <row r="381" spans="1:52">
      <c r="A381" s="120" t="s">
        <v>155</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08">
        <f t="shared" si="205"/>
        <v>0</v>
      </c>
      <c r="AB381" s="208">
        <f t="shared" si="205"/>
        <v>0</v>
      </c>
      <c r="AC381" s="208">
        <f t="shared" si="205"/>
        <v>0</v>
      </c>
      <c r="AD381" s="208">
        <f t="shared" si="207"/>
        <v>0</v>
      </c>
      <c r="AE381" s="208">
        <f t="shared" si="207"/>
        <v>0</v>
      </c>
      <c r="AF381" s="208">
        <f t="shared" si="207"/>
        <v>0</v>
      </c>
      <c r="AG381" s="208">
        <f t="shared" si="207"/>
        <v>0</v>
      </c>
      <c r="AH381" s="208">
        <f t="shared" si="207"/>
        <v>0</v>
      </c>
      <c r="AI381" s="208">
        <f t="shared" si="207"/>
        <v>0</v>
      </c>
      <c r="AJ381" s="208">
        <f t="shared" si="207"/>
        <v>0</v>
      </c>
      <c r="AK381" s="208">
        <f t="shared" si="207"/>
        <v>0</v>
      </c>
      <c r="AL381" s="208">
        <f t="shared" si="207"/>
        <v>0</v>
      </c>
      <c r="AM381" s="208">
        <f t="shared" si="207"/>
        <v>0</v>
      </c>
      <c r="AN381" s="208">
        <f t="shared" si="207"/>
        <v>0</v>
      </c>
      <c r="AO381" s="208">
        <f t="shared" si="207"/>
        <v>0</v>
      </c>
      <c r="AP381" s="208">
        <f t="shared" si="207"/>
        <v>0</v>
      </c>
      <c r="AQ381" s="208">
        <f t="shared" si="207"/>
        <v>0</v>
      </c>
      <c r="AR381" s="208">
        <f t="shared" si="207"/>
        <v>0</v>
      </c>
      <c r="AS381" s="208">
        <f t="shared" si="207"/>
        <v>0</v>
      </c>
      <c r="AT381" s="208">
        <f t="shared" si="207"/>
        <v>0</v>
      </c>
      <c r="AU381" s="208">
        <f t="shared" si="207"/>
        <v>0</v>
      </c>
      <c r="AV381" s="208">
        <f t="shared" si="207"/>
        <v>0</v>
      </c>
      <c r="AW381" s="208">
        <f t="shared" si="207"/>
        <v>0</v>
      </c>
      <c r="AX381" s="208">
        <f t="shared" si="207"/>
        <v>0</v>
      </c>
      <c r="AY381" s="120">
        <f t="shared" si="203"/>
        <v>0</v>
      </c>
      <c r="AZ381" s="20" t="s">
        <v>243</v>
      </c>
    </row>
    <row r="382" spans="1:52">
      <c r="A382" s="120" t="s">
        <v>156</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08">
        <f t="shared" si="205"/>
        <v>0</v>
      </c>
      <c r="AB382" s="208">
        <f t="shared" si="205"/>
        <v>0</v>
      </c>
      <c r="AC382" s="208">
        <f t="shared" si="205"/>
        <v>0</v>
      </c>
      <c r="AD382" s="208">
        <f t="shared" si="207"/>
        <v>0</v>
      </c>
      <c r="AE382" s="208">
        <f t="shared" si="207"/>
        <v>0</v>
      </c>
      <c r="AF382" s="208">
        <f t="shared" si="207"/>
        <v>0</v>
      </c>
      <c r="AG382" s="208">
        <f t="shared" si="207"/>
        <v>0</v>
      </c>
      <c r="AH382" s="208">
        <f t="shared" si="207"/>
        <v>0</v>
      </c>
      <c r="AI382" s="208">
        <f t="shared" si="207"/>
        <v>0</v>
      </c>
      <c r="AJ382" s="208">
        <f t="shared" si="207"/>
        <v>0</v>
      </c>
      <c r="AK382" s="208">
        <f t="shared" si="207"/>
        <v>0</v>
      </c>
      <c r="AL382" s="208">
        <f t="shared" si="207"/>
        <v>0</v>
      </c>
      <c r="AM382" s="208">
        <f t="shared" si="207"/>
        <v>0</v>
      </c>
      <c r="AN382" s="208">
        <f t="shared" si="207"/>
        <v>0</v>
      </c>
      <c r="AO382" s="208">
        <f t="shared" si="207"/>
        <v>0</v>
      </c>
      <c r="AP382" s="208">
        <f t="shared" si="207"/>
        <v>0</v>
      </c>
      <c r="AQ382" s="208">
        <f t="shared" si="207"/>
        <v>0</v>
      </c>
      <c r="AR382" s="208">
        <f t="shared" si="207"/>
        <v>0</v>
      </c>
      <c r="AS382" s="208">
        <f t="shared" si="207"/>
        <v>0</v>
      </c>
      <c r="AT382" s="208">
        <f t="shared" si="207"/>
        <v>0</v>
      </c>
      <c r="AU382" s="208">
        <f t="shared" si="207"/>
        <v>0</v>
      </c>
      <c r="AV382" s="208">
        <f t="shared" si="207"/>
        <v>0</v>
      </c>
      <c r="AW382" s="208">
        <f t="shared" si="207"/>
        <v>0</v>
      </c>
      <c r="AX382" s="208">
        <f t="shared" si="207"/>
        <v>0</v>
      </c>
      <c r="AY382" s="120">
        <f t="shared" si="203"/>
        <v>0</v>
      </c>
      <c r="AZ382" s="20" t="s">
        <v>243</v>
      </c>
    </row>
    <row r="383" spans="1:52">
      <c r="A383" s="120" t="s">
        <v>157</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08">
        <f t="shared" si="205"/>
        <v>0</v>
      </c>
      <c r="AB383" s="208">
        <f t="shared" si="205"/>
        <v>0</v>
      </c>
      <c r="AC383" s="208">
        <f t="shared" si="205"/>
        <v>0</v>
      </c>
      <c r="AD383" s="208">
        <f t="shared" si="207"/>
        <v>0</v>
      </c>
      <c r="AE383" s="208">
        <f t="shared" si="207"/>
        <v>0</v>
      </c>
      <c r="AF383" s="208">
        <f t="shared" si="207"/>
        <v>0</v>
      </c>
      <c r="AG383" s="208">
        <f t="shared" si="207"/>
        <v>0</v>
      </c>
      <c r="AH383" s="208">
        <f t="shared" si="207"/>
        <v>0</v>
      </c>
      <c r="AI383" s="208">
        <f t="shared" si="207"/>
        <v>0</v>
      </c>
      <c r="AJ383" s="208">
        <f t="shared" si="207"/>
        <v>0</v>
      </c>
      <c r="AK383" s="208">
        <f t="shared" si="207"/>
        <v>0</v>
      </c>
      <c r="AL383" s="208">
        <f t="shared" si="207"/>
        <v>0</v>
      </c>
      <c r="AM383" s="208">
        <f t="shared" si="207"/>
        <v>0</v>
      </c>
      <c r="AN383" s="208">
        <f t="shared" si="207"/>
        <v>0</v>
      </c>
      <c r="AO383" s="208">
        <f t="shared" si="207"/>
        <v>0</v>
      </c>
      <c r="AP383" s="208">
        <f t="shared" si="207"/>
        <v>0</v>
      </c>
      <c r="AQ383" s="208">
        <f t="shared" si="207"/>
        <v>0</v>
      </c>
      <c r="AR383" s="208">
        <f t="shared" si="207"/>
        <v>0</v>
      </c>
      <c r="AS383" s="208">
        <f t="shared" si="207"/>
        <v>0</v>
      </c>
      <c r="AT383" s="208">
        <f t="shared" si="207"/>
        <v>0</v>
      </c>
      <c r="AU383" s="208">
        <f t="shared" si="207"/>
        <v>0</v>
      </c>
      <c r="AV383" s="208">
        <f t="shared" si="207"/>
        <v>0</v>
      </c>
      <c r="AW383" s="208">
        <f t="shared" si="207"/>
        <v>0</v>
      </c>
      <c r="AX383" s="208">
        <f t="shared" si="207"/>
        <v>0</v>
      </c>
      <c r="AY383" s="120">
        <f t="shared" si="203"/>
        <v>0</v>
      </c>
      <c r="AZ383" s="20" t="s">
        <v>243</v>
      </c>
    </row>
    <row r="384" spans="1:52">
      <c r="A384" s="120" t="s">
        <v>158</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08">
        <f t="shared" si="205"/>
        <v>0</v>
      </c>
      <c r="AB384" s="208">
        <f t="shared" si="205"/>
        <v>0</v>
      </c>
      <c r="AC384" s="208">
        <f t="shared" si="205"/>
        <v>0</v>
      </c>
      <c r="AD384" s="208">
        <f t="shared" si="207"/>
        <v>0</v>
      </c>
      <c r="AE384" s="208">
        <f t="shared" si="207"/>
        <v>0</v>
      </c>
      <c r="AF384" s="208">
        <f t="shared" si="207"/>
        <v>0</v>
      </c>
      <c r="AG384" s="208">
        <f t="shared" si="207"/>
        <v>0</v>
      </c>
      <c r="AH384" s="208">
        <f t="shared" si="207"/>
        <v>0</v>
      </c>
      <c r="AI384" s="208">
        <f t="shared" si="207"/>
        <v>0</v>
      </c>
      <c r="AJ384" s="208">
        <f t="shared" si="207"/>
        <v>0</v>
      </c>
      <c r="AK384" s="208">
        <f t="shared" si="207"/>
        <v>0</v>
      </c>
      <c r="AL384" s="208">
        <f t="shared" si="207"/>
        <v>0</v>
      </c>
      <c r="AM384" s="208">
        <f t="shared" si="207"/>
        <v>0</v>
      </c>
      <c r="AN384" s="208">
        <f t="shared" si="207"/>
        <v>0</v>
      </c>
      <c r="AO384" s="208">
        <f t="shared" si="207"/>
        <v>0</v>
      </c>
      <c r="AP384" s="208">
        <f t="shared" si="207"/>
        <v>0</v>
      </c>
      <c r="AQ384" s="208">
        <f t="shared" si="207"/>
        <v>0</v>
      </c>
      <c r="AR384" s="208">
        <f t="shared" si="207"/>
        <v>0</v>
      </c>
      <c r="AS384" s="208">
        <f t="shared" si="207"/>
        <v>0</v>
      </c>
      <c r="AT384" s="208">
        <f t="shared" si="207"/>
        <v>0</v>
      </c>
      <c r="AU384" s="208">
        <f t="shared" si="207"/>
        <v>0</v>
      </c>
      <c r="AV384" s="208">
        <f t="shared" si="207"/>
        <v>0</v>
      </c>
      <c r="AW384" s="208">
        <f t="shared" si="207"/>
        <v>0</v>
      </c>
      <c r="AX384" s="208">
        <f t="shared" si="207"/>
        <v>0</v>
      </c>
      <c r="AY384" s="120">
        <f t="shared" si="203"/>
        <v>0</v>
      </c>
      <c r="AZ384" s="20" t="s">
        <v>243</v>
      </c>
    </row>
    <row r="385" spans="1:52">
      <c r="A385" s="120" t="s">
        <v>159</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08">
        <f t="shared" si="205"/>
        <v>0</v>
      </c>
      <c r="AB385" s="208">
        <f t="shared" si="205"/>
        <v>0</v>
      </c>
      <c r="AC385" s="208">
        <f t="shared" si="205"/>
        <v>0</v>
      </c>
      <c r="AD385" s="208">
        <f t="shared" si="207"/>
        <v>0</v>
      </c>
      <c r="AE385" s="208">
        <f t="shared" si="207"/>
        <v>0</v>
      </c>
      <c r="AF385" s="208">
        <f t="shared" si="207"/>
        <v>0</v>
      </c>
      <c r="AG385" s="208">
        <f t="shared" si="207"/>
        <v>0</v>
      </c>
      <c r="AH385" s="208">
        <f t="shared" si="207"/>
        <v>0</v>
      </c>
      <c r="AI385" s="208">
        <f t="shared" si="207"/>
        <v>0</v>
      </c>
      <c r="AJ385" s="208">
        <f t="shared" si="207"/>
        <v>0</v>
      </c>
      <c r="AK385" s="208">
        <f t="shared" si="207"/>
        <v>0</v>
      </c>
      <c r="AL385" s="208">
        <f t="shared" si="207"/>
        <v>0</v>
      </c>
      <c r="AM385" s="208">
        <f t="shared" si="207"/>
        <v>0</v>
      </c>
      <c r="AN385" s="208">
        <f t="shared" si="207"/>
        <v>0</v>
      </c>
      <c r="AO385" s="208">
        <f t="shared" si="207"/>
        <v>0</v>
      </c>
      <c r="AP385" s="208">
        <f t="shared" si="207"/>
        <v>0</v>
      </c>
      <c r="AQ385" s="208">
        <f t="shared" si="207"/>
        <v>0</v>
      </c>
      <c r="AR385" s="208">
        <f t="shared" si="207"/>
        <v>0</v>
      </c>
      <c r="AS385" s="208">
        <f t="shared" si="207"/>
        <v>0</v>
      </c>
      <c r="AT385" s="208">
        <f t="shared" si="207"/>
        <v>0</v>
      </c>
      <c r="AU385" s="208">
        <f t="shared" si="207"/>
        <v>0</v>
      </c>
      <c r="AV385" s="208">
        <f t="shared" si="207"/>
        <v>0</v>
      </c>
      <c r="AW385" s="208">
        <f t="shared" si="207"/>
        <v>0</v>
      </c>
      <c r="AX385" s="208">
        <f t="shared" si="207"/>
        <v>0</v>
      </c>
      <c r="AY385" s="120">
        <f t="shared" si="203"/>
        <v>0</v>
      </c>
      <c r="AZ385" s="20" t="s">
        <v>243</v>
      </c>
    </row>
    <row r="386" spans="1:52">
      <c r="A386" s="120" t="s">
        <v>160</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08">
        <f t="shared" ref="AA386:AF399" si="209">IF(B386=0,0,B386/AA22)</f>
        <v>0</v>
      </c>
      <c r="AB386" s="208">
        <f t="shared" si="209"/>
        <v>0</v>
      </c>
      <c r="AC386" s="208">
        <f t="shared" si="209"/>
        <v>0</v>
      </c>
      <c r="AD386" s="208">
        <f t="shared" si="207"/>
        <v>0</v>
      </c>
      <c r="AE386" s="208">
        <f t="shared" si="207"/>
        <v>0</v>
      </c>
      <c r="AF386" s="208">
        <f t="shared" si="207"/>
        <v>0</v>
      </c>
      <c r="AG386" s="208">
        <f t="shared" si="207"/>
        <v>0</v>
      </c>
      <c r="AH386" s="208">
        <f t="shared" si="207"/>
        <v>0</v>
      </c>
      <c r="AI386" s="208">
        <f t="shared" si="207"/>
        <v>0</v>
      </c>
      <c r="AJ386" s="208">
        <f t="shared" si="207"/>
        <v>0</v>
      </c>
      <c r="AK386" s="208">
        <f t="shared" si="207"/>
        <v>0</v>
      </c>
      <c r="AL386" s="208">
        <f t="shared" si="207"/>
        <v>0</v>
      </c>
      <c r="AM386" s="208">
        <f t="shared" si="207"/>
        <v>0</v>
      </c>
      <c r="AN386" s="208">
        <f t="shared" si="207"/>
        <v>0</v>
      </c>
      <c r="AO386" s="208">
        <f t="shared" si="207"/>
        <v>0</v>
      </c>
      <c r="AP386" s="208">
        <f t="shared" si="207"/>
        <v>0</v>
      </c>
      <c r="AQ386" s="208">
        <f t="shared" si="207"/>
        <v>0</v>
      </c>
      <c r="AR386" s="208">
        <f t="shared" si="207"/>
        <v>0</v>
      </c>
      <c r="AS386" s="208">
        <f t="shared" si="207"/>
        <v>0</v>
      </c>
      <c r="AT386" s="208">
        <f t="shared" si="207"/>
        <v>0</v>
      </c>
      <c r="AU386" s="208">
        <f t="shared" si="207"/>
        <v>0</v>
      </c>
      <c r="AV386" s="208">
        <f t="shared" si="207"/>
        <v>0</v>
      </c>
      <c r="AW386" s="208">
        <f t="shared" si="207"/>
        <v>0</v>
      </c>
      <c r="AX386" s="208">
        <f t="shared" si="207"/>
        <v>0</v>
      </c>
      <c r="AY386" s="120">
        <f t="shared" si="203"/>
        <v>0</v>
      </c>
      <c r="AZ386" s="20" t="s">
        <v>243</v>
      </c>
    </row>
    <row r="387" spans="1:52">
      <c r="A387" s="120" t="s">
        <v>161</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08">
        <f t="shared" si="209"/>
        <v>0</v>
      </c>
      <c r="AB387" s="208">
        <f t="shared" si="209"/>
        <v>0</v>
      </c>
      <c r="AC387" s="208">
        <f t="shared" si="209"/>
        <v>0</v>
      </c>
      <c r="AD387" s="208">
        <f t="shared" si="207"/>
        <v>0</v>
      </c>
      <c r="AE387" s="208">
        <f t="shared" si="207"/>
        <v>0</v>
      </c>
      <c r="AF387" s="208">
        <f t="shared" si="207"/>
        <v>0</v>
      </c>
      <c r="AG387" s="208">
        <f t="shared" si="207"/>
        <v>0</v>
      </c>
      <c r="AH387" s="208">
        <f t="shared" si="207"/>
        <v>0</v>
      </c>
      <c r="AI387" s="208">
        <f t="shared" si="207"/>
        <v>0</v>
      </c>
      <c r="AJ387" s="208">
        <f t="shared" si="207"/>
        <v>0</v>
      </c>
      <c r="AK387" s="208">
        <f t="shared" si="207"/>
        <v>0</v>
      </c>
      <c r="AL387" s="208">
        <f t="shared" si="207"/>
        <v>0</v>
      </c>
      <c r="AM387" s="208">
        <f t="shared" si="207"/>
        <v>0</v>
      </c>
      <c r="AN387" s="208">
        <f t="shared" si="207"/>
        <v>0</v>
      </c>
      <c r="AO387" s="208">
        <f t="shared" si="207"/>
        <v>0</v>
      </c>
      <c r="AP387" s="208">
        <f t="shared" si="207"/>
        <v>0</v>
      </c>
      <c r="AQ387" s="208">
        <f t="shared" si="207"/>
        <v>0</v>
      </c>
      <c r="AR387" s="208">
        <f t="shared" si="207"/>
        <v>0</v>
      </c>
      <c r="AS387" s="208">
        <f t="shared" si="207"/>
        <v>0</v>
      </c>
      <c r="AT387" s="208">
        <f t="shared" si="207"/>
        <v>0</v>
      </c>
      <c r="AU387" s="208">
        <f t="shared" si="207"/>
        <v>0</v>
      </c>
      <c r="AV387" s="208">
        <f t="shared" si="207"/>
        <v>0</v>
      </c>
      <c r="AW387" s="208">
        <f t="shared" si="207"/>
        <v>0</v>
      </c>
      <c r="AX387" s="208">
        <f t="shared" si="207"/>
        <v>0</v>
      </c>
      <c r="AY387" s="120">
        <f t="shared" si="203"/>
        <v>0</v>
      </c>
      <c r="AZ387" s="20" t="s">
        <v>243</v>
      </c>
    </row>
    <row r="388" spans="1:52">
      <c r="A388" s="120" t="s">
        <v>162</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08">
        <f t="shared" si="209"/>
        <v>0</v>
      </c>
      <c r="AB388" s="208">
        <f t="shared" si="209"/>
        <v>0</v>
      </c>
      <c r="AC388" s="208">
        <f t="shared" si="209"/>
        <v>0</v>
      </c>
      <c r="AD388" s="208">
        <f t="shared" si="207"/>
        <v>0</v>
      </c>
      <c r="AE388" s="208">
        <f t="shared" si="207"/>
        <v>0</v>
      </c>
      <c r="AF388" s="208">
        <f t="shared" si="207"/>
        <v>0</v>
      </c>
      <c r="AG388" s="208">
        <f t="shared" si="207"/>
        <v>0</v>
      </c>
      <c r="AH388" s="208">
        <f t="shared" si="207"/>
        <v>0</v>
      </c>
      <c r="AI388" s="208">
        <f t="shared" si="207"/>
        <v>0</v>
      </c>
      <c r="AJ388" s="208">
        <f t="shared" si="207"/>
        <v>0</v>
      </c>
      <c r="AK388" s="208">
        <f t="shared" si="207"/>
        <v>0</v>
      </c>
      <c r="AL388" s="208">
        <f t="shared" si="207"/>
        <v>0</v>
      </c>
      <c r="AM388" s="208">
        <f t="shared" si="207"/>
        <v>0</v>
      </c>
      <c r="AN388" s="208">
        <f t="shared" si="207"/>
        <v>0</v>
      </c>
      <c r="AO388" s="208">
        <f t="shared" si="207"/>
        <v>0</v>
      </c>
      <c r="AP388" s="208">
        <f t="shared" si="207"/>
        <v>0</v>
      </c>
      <c r="AQ388" s="208">
        <f t="shared" si="207"/>
        <v>0</v>
      </c>
      <c r="AR388" s="208">
        <f t="shared" si="207"/>
        <v>0</v>
      </c>
      <c r="AS388" s="208">
        <f t="shared" si="207"/>
        <v>0</v>
      </c>
      <c r="AT388" s="208">
        <f t="shared" si="207"/>
        <v>0</v>
      </c>
      <c r="AU388" s="208">
        <f t="shared" si="207"/>
        <v>0</v>
      </c>
      <c r="AV388" s="208">
        <f t="shared" si="207"/>
        <v>0</v>
      </c>
      <c r="AW388" s="208">
        <f t="shared" si="207"/>
        <v>0</v>
      </c>
      <c r="AX388" s="208">
        <f t="shared" si="207"/>
        <v>0</v>
      </c>
      <c r="AY388" s="120">
        <f t="shared" si="203"/>
        <v>0</v>
      </c>
      <c r="AZ388" s="20" t="s">
        <v>243</v>
      </c>
    </row>
    <row r="389" spans="1:52">
      <c r="A389" s="120" t="s">
        <v>163</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08">
        <f t="shared" si="209"/>
        <v>0</v>
      </c>
      <c r="AB389" s="208">
        <f t="shared" si="209"/>
        <v>0</v>
      </c>
      <c r="AC389" s="208">
        <f t="shared" si="209"/>
        <v>0</v>
      </c>
      <c r="AD389" s="208">
        <f t="shared" si="207"/>
        <v>0</v>
      </c>
      <c r="AE389" s="208">
        <f t="shared" si="207"/>
        <v>0</v>
      </c>
      <c r="AF389" s="208">
        <f t="shared" si="207"/>
        <v>0</v>
      </c>
      <c r="AG389" s="208">
        <f t="shared" si="207"/>
        <v>0</v>
      </c>
      <c r="AH389" s="208">
        <f t="shared" si="207"/>
        <v>0</v>
      </c>
      <c r="AI389" s="208">
        <f t="shared" si="207"/>
        <v>0</v>
      </c>
      <c r="AJ389" s="208">
        <f t="shared" si="207"/>
        <v>0</v>
      </c>
      <c r="AK389" s="208">
        <f t="shared" si="207"/>
        <v>0</v>
      </c>
      <c r="AL389" s="208">
        <f t="shared" si="207"/>
        <v>0</v>
      </c>
      <c r="AM389" s="208">
        <f t="shared" si="207"/>
        <v>0</v>
      </c>
      <c r="AN389" s="208">
        <f t="shared" si="207"/>
        <v>0</v>
      </c>
      <c r="AO389" s="208">
        <f t="shared" si="207"/>
        <v>0</v>
      </c>
      <c r="AP389" s="208">
        <f t="shared" si="207"/>
        <v>0</v>
      </c>
      <c r="AQ389" s="208">
        <f t="shared" si="207"/>
        <v>0</v>
      </c>
      <c r="AR389" s="208">
        <f t="shared" si="207"/>
        <v>0</v>
      </c>
      <c r="AS389" s="208">
        <f t="shared" si="207"/>
        <v>0</v>
      </c>
      <c r="AT389" s="208">
        <f t="shared" si="207"/>
        <v>0</v>
      </c>
      <c r="AU389" s="208">
        <f t="shared" si="207"/>
        <v>0</v>
      </c>
      <c r="AV389" s="208">
        <f t="shared" si="207"/>
        <v>0</v>
      </c>
      <c r="AW389" s="208">
        <f t="shared" si="207"/>
        <v>0</v>
      </c>
      <c r="AX389" s="208">
        <f t="shared" si="207"/>
        <v>0</v>
      </c>
      <c r="AY389" s="120">
        <f t="shared" si="203"/>
        <v>0</v>
      </c>
      <c r="AZ389" s="20" t="s">
        <v>243</v>
      </c>
    </row>
    <row r="390" spans="1:52">
      <c r="A390" s="120" t="s">
        <v>164</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08">
        <f t="shared" si="209"/>
        <v>0</v>
      </c>
      <c r="AB390" s="208">
        <f t="shared" si="209"/>
        <v>0</v>
      </c>
      <c r="AC390" s="208">
        <f t="shared" si="209"/>
        <v>0</v>
      </c>
      <c r="AD390" s="208">
        <f t="shared" si="207"/>
        <v>0</v>
      </c>
      <c r="AE390" s="208">
        <f t="shared" si="207"/>
        <v>0</v>
      </c>
      <c r="AF390" s="208">
        <f t="shared" si="207"/>
        <v>0</v>
      </c>
      <c r="AG390" s="208">
        <f t="shared" si="207"/>
        <v>0</v>
      </c>
      <c r="AH390" s="208">
        <f t="shared" si="207"/>
        <v>0</v>
      </c>
      <c r="AI390" s="208">
        <f t="shared" si="207"/>
        <v>0</v>
      </c>
      <c r="AJ390" s="208">
        <f t="shared" si="207"/>
        <v>0</v>
      </c>
      <c r="AK390" s="208">
        <f t="shared" si="207"/>
        <v>0</v>
      </c>
      <c r="AL390" s="208">
        <f t="shared" si="207"/>
        <v>0</v>
      </c>
      <c r="AM390" s="208">
        <f t="shared" si="207"/>
        <v>0</v>
      </c>
      <c r="AN390" s="208">
        <f t="shared" si="207"/>
        <v>0</v>
      </c>
      <c r="AO390" s="208">
        <f t="shared" si="207"/>
        <v>0</v>
      </c>
      <c r="AP390" s="208">
        <f t="shared" si="207"/>
        <v>0</v>
      </c>
      <c r="AQ390" s="208">
        <f t="shared" si="207"/>
        <v>0</v>
      </c>
      <c r="AR390" s="208">
        <f t="shared" si="207"/>
        <v>0</v>
      </c>
      <c r="AS390" s="208">
        <f t="shared" si="207"/>
        <v>0</v>
      </c>
      <c r="AT390" s="208">
        <f t="shared" si="207"/>
        <v>0</v>
      </c>
      <c r="AU390" s="208">
        <f t="shared" si="207"/>
        <v>0</v>
      </c>
      <c r="AV390" s="208">
        <f t="shared" si="207"/>
        <v>0</v>
      </c>
      <c r="AW390" s="208">
        <f t="shared" si="207"/>
        <v>0</v>
      </c>
      <c r="AX390" s="208">
        <f t="shared" si="207"/>
        <v>0</v>
      </c>
      <c r="AY390" s="120">
        <f t="shared" si="203"/>
        <v>0</v>
      </c>
      <c r="AZ390" s="20" t="s">
        <v>243</v>
      </c>
    </row>
    <row r="391" spans="1:52">
      <c r="A391" s="120" t="s">
        <v>165</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08">
        <f t="shared" si="209"/>
        <v>0</v>
      </c>
      <c r="AB391" s="208">
        <f t="shared" si="209"/>
        <v>0</v>
      </c>
      <c r="AC391" s="208">
        <f t="shared" si="209"/>
        <v>0</v>
      </c>
      <c r="AD391" s="208">
        <f t="shared" si="207"/>
        <v>0</v>
      </c>
      <c r="AE391" s="208">
        <f t="shared" si="207"/>
        <v>0</v>
      </c>
      <c r="AF391" s="208">
        <f t="shared" si="207"/>
        <v>0</v>
      </c>
      <c r="AG391" s="208">
        <f t="shared" si="207"/>
        <v>0</v>
      </c>
      <c r="AH391" s="208">
        <f t="shared" si="207"/>
        <v>0</v>
      </c>
      <c r="AI391" s="208">
        <f t="shared" si="207"/>
        <v>0</v>
      </c>
      <c r="AJ391" s="208">
        <f t="shared" si="207"/>
        <v>0</v>
      </c>
      <c r="AK391" s="208">
        <f t="shared" si="207"/>
        <v>0</v>
      </c>
      <c r="AL391" s="208">
        <f t="shared" si="207"/>
        <v>0</v>
      </c>
      <c r="AM391" s="208">
        <f t="shared" si="207"/>
        <v>0</v>
      </c>
      <c r="AN391" s="208">
        <f t="shared" si="207"/>
        <v>0</v>
      </c>
      <c r="AO391" s="208">
        <f t="shared" si="207"/>
        <v>0</v>
      </c>
      <c r="AP391" s="208">
        <f t="shared" si="207"/>
        <v>0</v>
      </c>
      <c r="AQ391" s="208">
        <f t="shared" si="207"/>
        <v>0</v>
      </c>
      <c r="AR391" s="208">
        <f t="shared" si="207"/>
        <v>0</v>
      </c>
      <c r="AS391" s="208">
        <f t="shared" si="207"/>
        <v>0</v>
      </c>
      <c r="AT391" s="208">
        <f t="shared" si="207"/>
        <v>0</v>
      </c>
      <c r="AU391" s="208">
        <f t="shared" si="207"/>
        <v>0</v>
      </c>
      <c r="AV391" s="208">
        <f t="shared" si="207"/>
        <v>0</v>
      </c>
      <c r="AW391" s="208">
        <f t="shared" si="207"/>
        <v>0</v>
      </c>
      <c r="AX391" s="208">
        <f t="shared" si="207"/>
        <v>0</v>
      </c>
      <c r="AY391" s="120">
        <f t="shared" si="203"/>
        <v>0</v>
      </c>
      <c r="AZ391" s="20" t="s">
        <v>243</v>
      </c>
    </row>
    <row r="392" spans="1:52">
      <c r="A392" s="120" t="s">
        <v>166</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08">
        <f t="shared" si="209"/>
        <v>0</v>
      </c>
      <c r="AB392" s="208">
        <f t="shared" si="209"/>
        <v>0</v>
      </c>
      <c r="AC392" s="208">
        <f t="shared" si="209"/>
        <v>0</v>
      </c>
      <c r="AD392" s="208">
        <f t="shared" si="207"/>
        <v>0</v>
      </c>
      <c r="AE392" s="208">
        <f t="shared" si="207"/>
        <v>0</v>
      </c>
      <c r="AF392" s="208">
        <f t="shared" si="207"/>
        <v>0</v>
      </c>
      <c r="AG392" s="208">
        <f t="shared" ref="AG392:AX399" si="212">IF(H392=0,0,H392/AG28)</f>
        <v>0</v>
      </c>
      <c r="AH392" s="208">
        <f t="shared" si="212"/>
        <v>0</v>
      </c>
      <c r="AI392" s="208">
        <f t="shared" si="212"/>
        <v>0</v>
      </c>
      <c r="AJ392" s="208">
        <f t="shared" si="212"/>
        <v>0</v>
      </c>
      <c r="AK392" s="208">
        <f t="shared" si="212"/>
        <v>0</v>
      </c>
      <c r="AL392" s="208">
        <f t="shared" si="212"/>
        <v>0</v>
      </c>
      <c r="AM392" s="208">
        <f t="shared" si="212"/>
        <v>0</v>
      </c>
      <c r="AN392" s="208">
        <f t="shared" si="212"/>
        <v>0</v>
      </c>
      <c r="AO392" s="208">
        <f t="shared" si="212"/>
        <v>0</v>
      </c>
      <c r="AP392" s="208">
        <f t="shared" si="212"/>
        <v>0</v>
      </c>
      <c r="AQ392" s="208">
        <f t="shared" si="212"/>
        <v>0</v>
      </c>
      <c r="AR392" s="208">
        <f t="shared" si="212"/>
        <v>0</v>
      </c>
      <c r="AS392" s="208">
        <f t="shared" si="212"/>
        <v>0</v>
      </c>
      <c r="AT392" s="208">
        <f t="shared" si="212"/>
        <v>0</v>
      </c>
      <c r="AU392" s="208">
        <f t="shared" si="212"/>
        <v>0</v>
      </c>
      <c r="AV392" s="208">
        <f t="shared" si="212"/>
        <v>0</v>
      </c>
      <c r="AW392" s="208">
        <f t="shared" si="212"/>
        <v>0</v>
      </c>
      <c r="AX392" s="208">
        <f t="shared" si="212"/>
        <v>0</v>
      </c>
      <c r="AY392" s="120">
        <f t="shared" si="203"/>
        <v>0</v>
      </c>
      <c r="AZ392" s="20" t="s">
        <v>243</v>
      </c>
    </row>
    <row r="393" spans="1:52">
      <c r="A393" s="120" t="s">
        <v>167</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1</v>
      </c>
      <c r="M393" s="120">
        <f t="shared" si="211"/>
        <v>0</v>
      </c>
      <c r="N393" s="120">
        <f t="shared" si="211"/>
        <v>0</v>
      </c>
      <c r="O393" s="120">
        <f t="shared" si="211"/>
        <v>0</v>
      </c>
      <c r="P393" s="120">
        <f t="shared" si="211"/>
        <v>1</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08">
        <f t="shared" si="209"/>
        <v>0</v>
      </c>
      <c r="AB393" s="208">
        <f t="shared" si="209"/>
        <v>0</v>
      </c>
      <c r="AC393" s="208">
        <f t="shared" si="209"/>
        <v>0</v>
      </c>
      <c r="AD393" s="208">
        <f t="shared" si="209"/>
        <v>0</v>
      </c>
      <c r="AE393" s="208">
        <f t="shared" si="209"/>
        <v>0</v>
      </c>
      <c r="AF393" s="208">
        <f t="shared" si="209"/>
        <v>0</v>
      </c>
      <c r="AG393" s="208">
        <f t="shared" si="212"/>
        <v>0</v>
      </c>
      <c r="AH393" s="208">
        <f t="shared" si="212"/>
        <v>0</v>
      </c>
      <c r="AI393" s="208">
        <f t="shared" si="212"/>
        <v>0</v>
      </c>
      <c r="AJ393" s="208">
        <f t="shared" si="212"/>
        <v>0</v>
      </c>
      <c r="AK393" s="208">
        <f t="shared" si="212"/>
        <v>1</v>
      </c>
      <c r="AL393" s="208">
        <f t="shared" si="212"/>
        <v>0</v>
      </c>
      <c r="AM393" s="208">
        <f t="shared" si="212"/>
        <v>0</v>
      </c>
      <c r="AN393" s="208">
        <f t="shared" si="212"/>
        <v>0</v>
      </c>
      <c r="AO393" s="208">
        <f t="shared" si="212"/>
        <v>1</v>
      </c>
      <c r="AP393" s="208">
        <f t="shared" si="212"/>
        <v>0</v>
      </c>
      <c r="AQ393" s="208">
        <f t="shared" si="212"/>
        <v>0</v>
      </c>
      <c r="AR393" s="208">
        <f t="shared" si="212"/>
        <v>0</v>
      </c>
      <c r="AS393" s="208">
        <f t="shared" si="212"/>
        <v>0</v>
      </c>
      <c r="AT393" s="208">
        <f t="shared" si="212"/>
        <v>0</v>
      </c>
      <c r="AU393" s="208">
        <f t="shared" si="212"/>
        <v>0</v>
      </c>
      <c r="AV393" s="208">
        <f t="shared" si="212"/>
        <v>0</v>
      </c>
      <c r="AW393" s="208">
        <f t="shared" si="212"/>
        <v>0</v>
      </c>
      <c r="AX393" s="208">
        <f t="shared" si="212"/>
        <v>0</v>
      </c>
      <c r="AY393" s="120">
        <f t="shared" si="203"/>
        <v>2</v>
      </c>
      <c r="AZ393" s="20" t="s">
        <v>243</v>
      </c>
    </row>
    <row r="394" spans="1:52">
      <c r="A394" s="120" t="s">
        <v>168</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08">
        <f t="shared" si="209"/>
        <v>0</v>
      </c>
      <c r="AB394" s="208">
        <f t="shared" si="209"/>
        <v>0</v>
      </c>
      <c r="AC394" s="208">
        <f t="shared" si="209"/>
        <v>0</v>
      </c>
      <c r="AD394" s="208">
        <f t="shared" si="209"/>
        <v>0</v>
      </c>
      <c r="AE394" s="208">
        <f t="shared" si="209"/>
        <v>0</v>
      </c>
      <c r="AF394" s="208">
        <f t="shared" si="209"/>
        <v>0</v>
      </c>
      <c r="AG394" s="208">
        <f t="shared" si="212"/>
        <v>0</v>
      </c>
      <c r="AH394" s="208">
        <f t="shared" si="212"/>
        <v>0</v>
      </c>
      <c r="AI394" s="208">
        <f t="shared" si="212"/>
        <v>0</v>
      </c>
      <c r="AJ394" s="208">
        <f t="shared" si="212"/>
        <v>0</v>
      </c>
      <c r="AK394" s="208">
        <f t="shared" si="212"/>
        <v>0</v>
      </c>
      <c r="AL394" s="208">
        <f t="shared" si="212"/>
        <v>0</v>
      </c>
      <c r="AM394" s="208">
        <f t="shared" si="212"/>
        <v>0</v>
      </c>
      <c r="AN394" s="208">
        <f t="shared" si="212"/>
        <v>0</v>
      </c>
      <c r="AO394" s="208">
        <f t="shared" si="212"/>
        <v>0</v>
      </c>
      <c r="AP394" s="208">
        <f t="shared" si="212"/>
        <v>0</v>
      </c>
      <c r="AQ394" s="208">
        <f t="shared" si="212"/>
        <v>0</v>
      </c>
      <c r="AR394" s="208">
        <f t="shared" si="212"/>
        <v>0</v>
      </c>
      <c r="AS394" s="208">
        <f t="shared" si="212"/>
        <v>0</v>
      </c>
      <c r="AT394" s="208">
        <f t="shared" si="212"/>
        <v>0</v>
      </c>
      <c r="AU394" s="208">
        <f t="shared" si="212"/>
        <v>0</v>
      </c>
      <c r="AV394" s="208">
        <f t="shared" si="212"/>
        <v>0</v>
      </c>
      <c r="AW394" s="208">
        <f t="shared" si="212"/>
        <v>0</v>
      </c>
      <c r="AX394" s="208">
        <f t="shared" si="212"/>
        <v>0</v>
      </c>
      <c r="AY394" s="120">
        <f t="shared" si="203"/>
        <v>0</v>
      </c>
      <c r="AZ394" s="20" t="s">
        <v>243</v>
      </c>
    </row>
    <row r="395" spans="1:52">
      <c r="A395" s="120" t="s">
        <v>169</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08">
        <f t="shared" si="209"/>
        <v>0</v>
      </c>
      <c r="AB395" s="208">
        <f t="shared" si="209"/>
        <v>0</v>
      </c>
      <c r="AC395" s="208">
        <f t="shared" si="209"/>
        <v>0</v>
      </c>
      <c r="AD395" s="208">
        <f t="shared" si="209"/>
        <v>0</v>
      </c>
      <c r="AE395" s="208">
        <f t="shared" si="209"/>
        <v>0</v>
      </c>
      <c r="AF395" s="208">
        <f t="shared" si="209"/>
        <v>0</v>
      </c>
      <c r="AG395" s="208">
        <f t="shared" si="212"/>
        <v>0</v>
      </c>
      <c r="AH395" s="208">
        <f t="shared" si="212"/>
        <v>0</v>
      </c>
      <c r="AI395" s="208">
        <f t="shared" si="212"/>
        <v>0</v>
      </c>
      <c r="AJ395" s="208">
        <f t="shared" si="212"/>
        <v>0</v>
      </c>
      <c r="AK395" s="208">
        <f t="shared" si="212"/>
        <v>0</v>
      </c>
      <c r="AL395" s="208">
        <f t="shared" si="212"/>
        <v>0</v>
      </c>
      <c r="AM395" s="208">
        <f t="shared" si="212"/>
        <v>0</v>
      </c>
      <c r="AN395" s="208">
        <f t="shared" si="212"/>
        <v>0</v>
      </c>
      <c r="AO395" s="208">
        <f t="shared" si="212"/>
        <v>0</v>
      </c>
      <c r="AP395" s="208">
        <f t="shared" si="212"/>
        <v>0</v>
      </c>
      <c r="AQ395" s="208">
        <f t="shared" si="212"/>
        <v>0</v>
      </c>
      <c r="AR395" s="208">
        <f t="shared" si="212"/>
        <v>0</v>
      </c>
      <c r="AS395" s="208">
        <f t="shared" si="212"/>
        <v>0</v>
      </c>
      <c r="AT395" s="208">
        <f t="shared" si="212"/>
        <v>0</v>
      </c>
      <c r="AU395" s="208">
        <f t="shared" si="212"/>
        <v>0</v>
      </c>
      <c r="AV395" s="208">
        <f t="shared" si="212"/>
        <v>0</v>
      </c>
      <c r="AW395" s="208">
        <f t="shared" si="212"/>
        <v>0</v>
      </c>
      <c r="AX395" s="208">
        <f t="shared" si="212"/>
        <v>0</v>
      </c>
      <c r="AY395" s="120">
        <f t="shared" si="203"/>
        <v>0</v>
      </c>
      <c r="AZ395" s="20" t="s">
        <v>243</v>
      </c>
    </row>
    <row r="396" spans="1:52">
      <c r="A396" s="120" t="s">
        <v>170</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08">
        <f t="shared" si="209"/>
        <v>0</v>
      </c>
      <c r="AB396" s="208">
        <f t="shared" si="209"/>
        <v>0</v>
      </c>
      <c r="AC396" s="208">
        <f t="shared" si="209"/>
        <v>0</v>
      </c>
      <c r="AD396" s="208">
        <f t="shared" si="209"/>
        <v>0</v>
      </c>
      <c r="AE396" s="208">
        <f t="shared" si="209"/>
        <v>0</v>
      </c>
      <c r="AF396" s="208">
        <f t="shared" si="209"/>
        <v>0</v>
      </c>
      <c r="AG396" s="208">
        <f t="shared" si="212"/>
        <v>0</v>
      </c>
      <c r="AH396" s="208">
        <f t="shared" si="212"/>
        <v>0</v>
      </c>
      <c r="AI396" s="208">
        <f t="shared" si="212"/>
        <v>0</v>
      </c>
      <c r="AJ396" s="208">
        <f t="shared" si="212"/>
        <v>0</v>
      </c>
      <c r="AK396" s="208">
        <f t="shared" si="212"/>
        <v>0</v>
      </c>
      <c r="AL396" s="208">
        <f t="shared" si="212"/>
        <v>0</v>
      </c>
      <c r="AM396" s="208">
        <f t="shared" si="212"/>
        <v>0</v>
      </c>
      <c r="AN396" s="208">
        <f t="shared" si="212"/>
        <v>0</v>
      </c>
      <c r="AO396" s="208">
        <f t="shared" si="212"/>
        <v>0</v>
      </c>
      <c r="AP396" s="208">
        <f t="shared" si="212"/>
        <v>0</v>
      </c>
      <c r="AQ396" s="208">
        <f t="shared" si="212"/>
        <v>0</v>
      </c>
      <c r="AR396" s="208">
        <f t="shared" si="212"/>
        <v>0</v>
      </c>
      <c r="AS396" s="208">
        <f t="shared" si="212"/>
        <v>0</v>
      </c>
      <c r="AT396" s="208">
        <f t="shared" si="212"/>
        <v>0</v>
      </c>
      <c r="AU396" s="208">
        <f t="shared" si="212"/>
        <v>0</v>
      </c>
      <c r="AV396" s="208">
        <f t="shared" si="212"/>
        <v>0</v>
      </c>
      <c r="AW396" s="208">
        <f t="shared" si="212"/>
        <v>0</v>
      </c>
      <c r="AX396" s="208">
        <f t="shared" si="212"/>
        <v>0</v>
      </c>
      <c r="AY396" s="120">
        <f t="shared" si="203"/>
        <v>0</v>
      </c>
      <c r="AZ396" s="20" t="s">
        <v>243</v>
      </c>
    </row>
    <row r="397" spans="1:52">
      <c r="A397" s="120" t="s">
        <v>171</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08">
        <f t="shared" si="209"/>
        <v>0</v>
      </c>
      <c r="AB397" s="208">
        <f t="shared" si="209"/>
        <v>0</v>
      </c>
      <c r="AC397" s="208">
        <f t="shared" si="209"/>
        <v>0</v>
      </c>
      <c r="AD397" s="208">
        <f t="shared" si="209"/>
        <v>0</v>
      </c>
      <c r="AE397" s="208">
        <f t="shared" si="209"/>
        <v>0</v>
      </c>
      <c r="AF397" s="208">
        <f t="shared" si="209"/>
        <v>0</v>
      </c>
      <c r="AG397" s="208">
        <f t="shared" si="212"/>
        <v>0</v>
      </c>
      <c r="AH397" s="208">
        <f t="shared" si="212"/>
        <v>0</v>
      </c>
      <c r="AI397" s="208">
        <f t="shared" si="212"/>
        <v>0</v>
      </c>
      <c r="AJ397" s="208">
        <f t="shared" si="212"/>
        <v>0</v>
      </c>
      <c r="AK397" s="208">
        <f>IF(L397=0,0,L397/#REF!)</f>
        <v>0</v>
      </c>
      <c r="AL397" s="208">
        <f t="shared" si="212"/>
        <v>0</v>
      </c>
      <c r="AM397" s="208">
        <f t="shared" si="212"/>
        <v>0</v>
      </c>
      <c r="AN397" s="208">
        <f t="shared" si="212"/>
        <v>0</v>
      </c>
      <c r="AO397" s="208">
        <f t="shared" si="212"/>
        <v>0</v>
      </c>
      <c r="AP397" s="208">
        <f t="shared" si="212"/>
        <v>0</v>
      </c>
      <c r="AQ397" s="208">
        <f t="shared" si="212"/>
        <v>0</v>
      </c>
      <c r="AR397" s="208">
        <f t="shared" si="212"/>
        <v>0</v>
      </c>
      <c r="AS397" s="208">
        <f t="shared" si="212"/>
        <v>0</v>
      </c>
      <c r="AT397" s="208">
        <f t="shared" si="212"/>
        <v>0</v>
      </c>
      <c r="AU397" s="208">
        <f t="shared" si="212"/>
        <v>0</v>
      </c>
      <c r="AV397" s="208">
        <f t="shared" si="212"/>
        <v>0</v>
      </c>
      <c r="AW397" s="208">
        <f t="shared" si="212"/>
        <v>0</v>
      </c>
      <c r="AX397" s="208">
        <f t="shared" si="212"/>
        <v>0</v>
      </c>
      <c r="AY397" s="120">
        <f t="shared" si="203"/>
        <v>0</v>
      </c>
      <c r="AZ397" s="20" t="s">
        <v>243</v>
      </c>
    </row>
    <row r="398" spans="1:52">
      <c r="A398" s="120" t="s">
        <v>172</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08">
        <f t="shared" si="209"/>
        <v>0</v>
      </c>
      <c r="AB398" s="208">
        <f t="shared" si="209"/>
        <v>0</v>
      </c>
      <c r="AC398" s="208">
        <f t="shared" si="209"/>
        <v>0</v>
      </c>
      <c r="AD398" s="208">
        <f t="shared" si="209"/>
        <v>0</v>
      </c>
      <c r="AE398" s="208">
        <f t="shared" si="209"/>
        <v>0</v>
      </c>
      <c r="AF398" s="208">
        <f t="shared" si="209"/>
        <v>0</v>
      </c>
      <c r="AG398" s="208">
        <f t="shared" si="212"/>
        <v>0</v>
      </c>
      <c r="AH398" s="208">
        <f t="shared" si="212"/>
        <v>0</v>
      </c>
      <c r="AI398" s="208">
        <f t="shared" si="212"/>
        <v>0</v>
      </c>
      <c r="AJ398" s="208">
        <f t="shared" si="212"/>
        <v>0</v>
      </c>
      <c r="AK398" s="208">
        <f>IF(L398=0,0,L398/AK33)</f>
        <v>0</v>
      </c>
      <c r="AL398" s="208">
        <f t="shared" si="212"/>
        <v>0</v>
      </c>
      <c r="AM398" s="208">
        <f t="shared" si="212"/>
        <v>0</v>
      </c>
      <c r="AN398" s="208">
        <f t="shared" si="212"/>
        <v>0</v>
      </c>
      <c r="AO398" s="208">
        <f t="shared" si="212"/>
        <v>0</v>
      </c>
      <c r="AP398" s="208">
        <f t="shared" si="212"/>
        <v>0</v>
      </c>
      <c r="AQ398" s="208">
        <f t="shared" si="212"/>
        <v>0</v>
      </c>
      <c r="AR398" s="208">
        <f t="shared" si="212"/>
        <v>0</v>
      </c>
      <c r="AS398" s="208">
        <f t="shared" si="212"/>
        <v>0</v>
      </c>
      <c r="AT398" s="208">
        <f t="shared" si="212"/>
        <v>0</v>
      </c>
      <c r="AU398" s="208">
        <f t="shared" si="212"/>
        <v>0</v>
      </c>
      <c r="AV398" s="208">
        <f t="shared" si="212"/>
        <v>0</v>
      </c>
      <c r="AW398" s="208">
        <f t="shared" si="212"/>
        <v>0</v>
      </c>
      <c r="AX398" s="208">
        <f t="shared" si="212"/>
        <v>0</v>
      </c>
      <c r="AY398" s="120">
        <f t="shared" si="203"/>
        <v>0</v>
      </c>
      <c r="AZ398" s="20" t="s">
        <v>243</v>
      </c>
    </row>
    <row r="399" spans="1:52">
      <c r="A399" s="120" t="s">
        <v>173</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08">
        <f t="shared" si="209"/>
        <v>0</v>
      </c>
      <c r="AB399" s="208">
        <f t="shared" si="209"/>
        <v>0</v>
      </c>
      <c r="AC399" s="208">
        <f t="shared" si="209"/>
        <v>0</v>
      </c>
      <c r="AD399" s="208">
        <f t="shared" si="209"/>
        <v>0</v>
      </c>
      <c r="AE399" s="208">
        <f t="shared" si="209"/>
        <v>0</v>
      </c>
      <c r="AF399" s="208">
        <f t="shared" si="209"/>
        <v>0</v>
      </c>
      <c r="AG399" s="208">
        <f t="shared" si="212"/>
        <v>0</v>
      </c>
      <c r="AH399" s="208">
        <f t="shared" si="212"/>
        <v>0</v>
      </c>
      <c r="AI399" s="208">
        <f t="shared" si="212"/>
        <v>0</v>
      </c>
      <c r="AJ399" s="208">
        <f t="shared" si="212"/>
        <v>0</v>
      </c>
      <c r="AK399" s="208">
        <f t="shared" si="212"/>
        <v>0</v>
      </c>
      <c r="AL399" s="208">
        <f t="shared" si="212"/>
        <v>0</v>
      </c>
      <c r="AM399" s="208">
        <f t="shared" si="212"/>
        <v>0</v>
      </c>
      <c r="AN399" s="208">
        <f t="shared" si="212"/>
        <v>0</v>
      </c>
      <c r="AO399" s="208">
        <f t="shared" si="212"/>
        <v>0</v>
      </c>
      <c r="AP399" s="208">
        <f t="shared" si="212"/>
        <v>0</v>
      </c>
      <c r="AQ399" s="208">
        <f t="shared" si="212"/>
        <v>0</v>
      </c>
      <c r="AR399" s="208">
        <f t="shared" si="212"/>
        <v>0</v>
      </c>
      <c r="AS399" s="208">
        <f t="shared" si="212"/>
        <v>0</v>
      </c>
      <c r="AT399" s="208">
        <f t="shared" si="212"/>
        <v>0</v>
      </c>
      <c r="AU399" s="208">
        <f t="shared" si="212"/>
        <v>0</v>
      </c>
      <c r="AV399" s="208">
        <f t="shared" si="212"/>
        <v>0</v>
      </c>
      <c r="AW399" s="208">
        <f t="shared" si="212"/>
        <v>0</v>
      </c>
      <c r="AX399" s="208">
        <f t="shared" si="212"/>
        <v>0</v>
      </c>
      <c r="AY399" s="120">
        <f t="shared" si="203"/>
        <v>0</v>
      </c>
      <c r="AZ399" s="20" t="s">
        <v>243</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2025-02-17T08:28:48Z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