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FEB\INF_ELABORADA\"/>
    </mc:Choice>
  </mc:AlternateContent>
  <xr:revisionPtr revIDLastSave="0" documentId="8_{30195BED-E013-45A4-87DD-F4BD44D5D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Dat_01!$A$85:$Q$114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2" l="1"/>
  <c r="G13" i="22"/>
  <c r="R26" i="18"/>
  <c r="R25" i="18"/>
  <c r="G22" i="22"/>
  <c r="G11" i="22"/>
  <c r="I11" i="22"/>
  <c r="S25" i="18" l="1"/>
  <c r="T25" i="18" s="1"/>
  <c r="C47" i="18" l="1"/>
  <c r="S26" i="18" l="1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8" i="18" l="1"/>
  <c r="D69" i="18"/>
  <c r="D75" i="18"/>
  <c r="D70" i="18"/>
  <c r="D76" i="18"/>
  <c r="D71" i="18"/>
  <c r="D73" i="18"/>
  <c r="D77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F13" i="22"/>
  <c r="L12" i="22"/>
  <c r="I12" i="22"/>
  <c r="H12" i="22"/>
  <c r="G12" i="22"/>
  <c r="F12" i="22"/>
  <c r="H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<sst xmlns="http://schemas.openxmlformats.org/spreadsheetml/2006/main" count="424" uniqueCount="128">
  <si>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</si>
  <si>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</si>
  <si>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</si>
  <si>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</si>
  <si>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</si>
  <si>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</si>
  <si>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</si>
  <si>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</si>
  <si>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</si>
  <si>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</si>
  <si>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</si>
  <si>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</si>
  <si>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</si>
  <si>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</si>
  <si>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</si>
  <si>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</si>
  <si>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</si>
  <si>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</si>
  <si>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</si>
  <si>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</si>
  <si>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</si>
  <si>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</si>
  <si>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</si>
  <si>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</si>
  <si>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</si>
  <si>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</si>
  <si>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</si>
  <si>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</si>
  <si>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</si>
  <si>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</si>
  <si>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</si>
  <si>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</si>
  <si>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</si>
  <si>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</si>
  <si>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</si>
  <si>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</si>
  <si>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</si>
  <si>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</si>
  <si>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</si>
  <si>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</si>
  <si>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</si>
  <si>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</si>
  <si>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</si>
  <si>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</si>
  <si>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</si>
  <si>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</si>
  <si>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</si>
  <si>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</si>
  <si>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</si>
  <si>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</si>
  <si>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</si>
  <si>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</si>
  <si>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</si>
  <si>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</si>
  <si>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</si>
  <si>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</si>
  <si>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</si>
  <si>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</si>
  <si>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</si>
  <si>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</si>
  <si>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</si>
  <si>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</si>
  <si>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</si>
  <si>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</si>
  <si>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</si>
  <si>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</si>
  <si>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</si>
  <si>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</si>
  <si>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</si>
  <si>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</si>
  <si>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</si>
  <si>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</si>
  <si>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</si>
  <si>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</si>
  <si>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</si>
  <si>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</si>
  <si>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</si>
  <si>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</si>
  <si>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</si>
  <si>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</si>
  <si>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</si>
  <si>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</si>
  <si>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</si>
  <si>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</si>
  <si>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</si>
  <si>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</si>
  <si>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</si>
  <si>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</si>
  <si>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</si>
  <si>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</si>
  <si>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</si>
  <si>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</si>
  <si>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</si>
  <si>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</si>
  <si>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</si>
  <si>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</si>
  <si>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</si>
  <si>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</si>
  <si>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</si>
  <si>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</si>
  <si>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</si>
  <si>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</si>
  <si>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</si>
  <si>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</si>
  <si>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</si>
  <si>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</si>
  <si>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</si>
  <si>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</si>
  <si>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</si>
  <si>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</si>
  <si>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</si>
  <si>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</si>
  <si>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</si>
  <si>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</si>
  <si>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</si>
  <si>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</si>
  <si>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</si>
  <si>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</si>
  <si>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</si>
  <si>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</si>
  <si>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29/02/2024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</si>
  <si>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ut="03/04/2024 12:18:13" si="2.00000001e70f82589231e66c2826ce14774bc02cbffc7838dc4f14babb104f1de702480f57dcbef80cf9f07ce1ee3ddfca85320f4112c8f0db51949c753e375cd98f4e6d782301ae90bcd5a4797e576dfe15feb69d4ed892634d3dd6e50aff1dea015f62810871e6a79a43b046909fbe183172c187111fb3fe2bca20085980e252ee0a3fdbea33993255607e2af160ec63daacda568f45473e8bbcc3261c84617615.p.3082.0.1.Europe/Madrid.upriv*_1*_pidn2*_36*_session*-lat*_1.000000013944bba6eee03d82675b922c34e442efbc6025e0a7886e8f6dd281fb15a8cf4f273efa914dad4459ff05bb2d980d1b4e4a9137fd.000000012450f65ea3df3207d6686d140773f4b9bc6025e06812928a7ab4adfcc98d6986e9b106a43c0bd90a9d3acc9b76883ced84a40b66.0.1.1.BDEbi.D066E1C611E6257C10D00080EF253B44.0-3082.1.1_-0.1.0_-3082.1.1_5.5.0.*0.00000001f39818a15bafefbe3f963219f37b664cc911585adc90d2950eafbee892e12d2218ed4b52.0.23.11*.2*.0400*.31152J.e.000000012db9a18783eff66545bd1c028745893fc911585abe60ffca710e0d6e5b934d54ab732969.0.10*.131*.122*.122.0.0" msgID="42BA961211EEDA2184750080EF9513D3"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</si>
  <si>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Marzo 2024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</si>
  <si>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10:50:46"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msgID="F6ACEAB611EEE05D81490080EF658606"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nrr="1513" nrc="2848"&gt;&lt;pg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</si>
  <si>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ut="03/12/2024 10:55:20"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msgID="869C8C9F11EEE05E81490080EF75A504"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cols="17" /&gt;&lt;esdo ews="" ece="" ptn="" /&gt;&lt;/excel&gt;&lt;pgs&gt;&lt;pg rows="27" cols="15" nrr="2196" nrc="1679"&gt;&lt;pg /&gt;&lt;bls&gt;&lt;bl sr="1" sc="1" rfetch="27" cfetch="15" posid="1" darows="0" dacols="1"&gt;&lt;excel&gt;&lt;epo ews="Dat_01" ece="A85" enr="MSTR.Serie_Balance_B.C._Mensual_Baleares_y_Canarias" ptn="" qtn="" rows="30" cols="17" /&gt;&lt;esdo ews="" ece="" ptn="" /&gt;&lt;/excel&gt;&lt;gridRng&gt;&lt;sect id="TITLE_AREA" rngprop="1:1:3:2" /&gt;&lt;sect id="ROWHEADERS_AREA" rngprop="4:1:27:2" /&gt;&lt;sect id="COLUMNHEADERS_AREA" rngprop="1:3:3:15" /&gt;&lt;sect id="DATA_AREA" rngprop="4:3:27:15"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</si>
  <si>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ut="03/12/2024 10:56:26" si="2.00000001554c48fda1f00a838edc56b26f12d4c5f99c94beb7ad2586e6a52b7feb5de8b01e22a80b7cfeaa1411adb4814eb5c51504c8785675d76181ce418b506e85ae58f92c248d24ce60554f43ee411572cec10e72098083ac22f4d5a7e08d182f9214a66a8ca800c0202ca6a2dc0bc3ee7bf53f8bd0c0f7fca1fcb7a9004828a0b86efdebacd65746d4e4c5b448510c202d101a11e2c28cb64f8636c378dd6be5.p.3082.0.1.Europe/Madrid.upriv*_1*_pidn2*_40*_session*-lat*_1.00000001589ed932359f4f15d3fc97639861d616bc6025e0c6a632d6ecbda9595d320409cf5cd781f7c6c2176efcc05bd99c8bcff3ec3ce5.000000016ca48d4656b6a7a3b0fc268fcce8ef6fbc6025e008fac880b9a3e2c1b0b28a1ab0e21335e76eccb065550f0d91d8aa99ccd321a0.0.1.1.BDEbi.D066E1C611E6257C10D00080EF253B44.0-3082.1.1_-0.1.0_-3082.1.1_5.5.0.*0.000000012d6de959b6e24f28a3fd2110e78dc61ac911585ab90c8b85f0e424cf73975846e09e1477.0.23.11*.2*.0400*.31152J.e.000000015fa3f662c8d8a63b7b2598ebd620c616c911585a6317e1b63a0de134a8cfe9f03fea0d44.0.10*.131*.122*.122.0.0" msgID="2290352E11EEE05F81490080EF95E606"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nrr="115" nrc="816"&gt;&lt;pg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</si>
  <si>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71f80d83d0a24154ae2a32e3a34f43e7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</si>
  <si>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ut="03/12/2024 10:57:10" si="2.00000001554c48fda1f00a838edc56b26f12d4c5f99c94beb7ad2586e6a52b7feb5de8b01e22a80b7cfeaa1411adb4814eb5c51504c8785675d76181ce418b506e85ae58f92c248d24ce60554f43ee411572cec10e72098083ac22f4d5a7e08d182f9214a66a8ca800c0202ca6a2dc0bc3ee7bf53f8bd0c0f7fca1fcb7a9004828a0b86efdebacd65746d4e4c5b448510c202d101a11e2c28cb64f8636c378dd6be5.p.3082.0.1.Europe/Madrid.upriv*_1*_pidn2*_40*_session*-lat*_1.00000001589ed932359f4f15d3fc97639861d616bc6025e0c6a632d6ecbda9595d320409cf5cd781f7c6c2176efcc05bd99c8bcff3ec3ce5.000000016ca48d4656b6a7a3b0fc268fcce8ef6fbc6025e008fac880b9a3e2c1b0b28a1ab0e21335e76eccb065550f0d91d8aa99ccd321a0.0.1.1.BDEbi.D066E1C611E6257C10D00080EF253B44.0-3082.1.1_-0.1.0_-3082.1.1_5.5.0.*0.000000012d6de959b6e24f28a3fd2110e78dc61ac911585ab90c8b85f0e424cf73975846e09e1477.0.23.11*.2*.0400*.31152J.e.000000015fa3f662c8d8a63b7b2598ebd620c616c911585a6317e1b63a0de134a8cfe9f03fea0d44.0.10*.131*.122*.122.0.0" msgID="4059B95F11EEE05F81490080EF75A606"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nrr="71" nrc="864"&gt;&lt;pg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</si>
</sst>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11"/>
      <color theme="1"/>
      <name val="Calibri"/>
      <family val="2"/>
      <scheme val="minor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0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168" fontId="51" fillId="0" borderId="0" xfId="0" applyNumberFormat="1" applyFont="1"/>
    <xf numFmtId="0" fontId="51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-1.2614443415161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308930286153254"/>
                  <c:y val="0.216568503937007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7235772357723578"/>
                  <c:y val="0.110049999999999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749619102490236"/>
                  <c:y val="-2.7772440944881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8699186991869918"/>
                  <c:y val="-0.10782480314960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7216208949491063"/>
                  <c:y val="-0.1308248031496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1.1855899992545318</c:v>
                </c:pt>
                <c:pt idx="2">
                  <c:v>5.8494663045300896</c:v>
                </c:pt>
                <c:pt idx="3">
                  <c:v>53.703829308904595</c:v>
                </c:pt>
                <c:pt idx="4">
                  <c:v>0</c:v>
                </c:pt>
                <c:pt idx="5">
                  <c:v>0.91920724478505422</c:v>
                </c:pt>
                <c:pt idx="6">
                  <c:v>1.3785462701153157</c:v>
                </c:pt>
                <c:pt idx="7">
                  <c:v>1.3785462701153157</c:v>
                </c:pt>
                <c:pt idx="8">
                  <c:v>0</c:v>
                </c:pt>
                <c:pt idx="9">
                  <c:v>7.3737555369085976</c:v>
                </c:pt>
                <c:pt idx="10">
                  <c:v>7.6712255581167458E-3</c:v>
                </c:pt>
                <c:pt idx="11">
                  <c:v>28.203387839828377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6"/>
                  <c:y val="0.147460236220472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17560975609756097"/>
                  <c:y val="0.2948039370078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016260162601626"/>
                  <c:y val="0.16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1951219512195122"/>
                  <c:y val="2.9901968503937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5934959349593497"/>
                  <c:y val="-9.82641732283464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65866461814223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10.80775951159627</c:v>
                </c:pt>
                <c:pt idx="1">
                  <c:v>6.2462756049606973</c:v>
                </c:pt>
                <c:pt idx="2">
                  <c:v>27.02387960797558</c:v>
                </c:pt>
                <c:pt idx="3">
                  <c:v>36.872741716801706</c:v>
                </c:pt>
                <c:pt idx="4">
                  <c:v>0</c:v>
                </c:pt>
                <c:pt idx="5">
                  <c:v>0.51632592393086163</c:v>
                </c:pt>
                <c:pt idx="6">
                  <c:v>1.6758300403553088</c:v>
                </c:pt>
                <c:pt idx="7">
                  <c:v>1.6758300403553088</c:v>
                </c:pt>
                <c:pt idx="8">
                  <c:v>0.15985357403656589</c:v>
                </c:pt>
                <c:pt idx="9">
                  <c:v>14.926062322609161</c:v>
                </c:pt>
                <c:pt idx="10">
                  <c:v>9.5441657378524281E-2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-0.70697299999999996</c:v>
                </c:pt>
                <c:pt idx="1">
                  <c:v>-0.51834000000000002</c:v>
                </c:pt>
                <c:pt idx="2">
                  <c:v>-0.60865999999999998</c:v>
                </c:pt>
                <c:pt idx="3">
                  <c:v>-0.83296899999999996</c:v>
                </c:pt>
                <c:pt idx="4">
                  <c:v>3.1799559999999998</c:v>
                </c:pt>
                <c:pt idx="5">
                  <c:v>54.925434000000003</c:v>
                </c:pt>
                <c:pt idx="6">
                  <c:v>9.0232189999999992</c:v>
                </c:pt>
                <c:pt idx="7">
                  <c:v>-0.82337800000000005</c:v>
                </c:pt>
                <c:pt idx="8">
                  <c:v>-0.82724900000000001</c:v>
                </c:pt>
                <c:pt idx="9">
                  <c:v>-0.89542500000000003</c:v>
                </c:pt>
                <c:pt idx="10">
                  <c:v>-0.69586499999999996</c:v>
                </c:pt>
                <c:pt idx="11">
                  <c:v>-0.70605399999999996</c:v>
                </c:pt>
                <c:pt idx="12">
                  <c:v>-0.66276199999999996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47.337153999999998</c:v>
                </c:pt>
                <c:pt idx="1">
                  <c:v>40.752212</c:v>
                </c:pt>
                <c:pt idx="2">
                  <c:v>36.577028999999996</c:v>
                </c:pt>
                <c:pt idx="3">
                  <c:v>47.925082000000003</c:v>
                </c:pt>
                <c:pt idx="4">
                  <c:v>77.204378999999989</c:v>
                </c:pt>
                <c:pt idx="5">
                  <c:v>124.68270699999999</c:v>
                </c:pt>
                <c:pt idx="6">
                  <c:v>118.33977300000001</c:v>
                </c:pt>
                <c:pt idx="7">
                  <c:v>82.054295999999994</c:v>
                </c:pt>
                <c:pt idx="8">
                  <c:v>61.254111000000002</c:v>
                </c:pt>
                <c:pt idx="9">
                  <c:v>30.185099999999998</c:v>
                </c:pt>
                <c:pt idx="10">
                  <c:v>28.263148000000001</c:v>
                </c:pt>
                <c:pt idx="11">
                  <c:v>30.443576</c:v>
                </c:pt>
                <c:pt idx="12">
                  <c:v>28.621776999999998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250.50749099999999</c:v>
                </c:pt>
                <c:pt idx="1">
                  <c:v>233.28242</c:v>
                </c:pt>
                <c:pt idx="2">
                  <c:v>207.738203</c:v>
                </c:pt>
                <c:pt idx="3">
                  <c:v>231.47546199999999</c:v>
                </c:pt>
                <c:pt idx="4">
                  <c:v>269.55010299999998</c:v>
                </c:pt>
                <c:pt idx="5">
                  <c:v>316.35504600000002</c:v>
                </c:pt>
                <c:pt idx="6">
                  <c:v>324.37696499999998</c:v>
                </c:pt>
                <c:pt idx="7">
                  <c:v>296.32292799999999</c:v>
                </c:pt>
                <c:pt idx="8">
                  <c:v>247.112684</c:v>
                </c:pt>
                <c:pt idx="9">
                  <c:v>224.26124200000001</c:v>
                </c:pt>
                <c:pt idx="10">
                  <c:v>233.91494</c:v>
                </c:pt>
                <c:pt idx="11">
                  <c:v>244.02029300000001</c:v>
                </c:pt>
                <c:pt idx="12">
                  <c:v>218.49136100000001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0.18323999999999999</c:v>
                </c:pt>
                <c:pt idx="1">
                  <c:v>0.20035</c:v>
                </c:pt>
                <c:pt idx="2">
                  <c:v>0.12734500000000001</c:v>
                </c:pt>
                <c:pt idx="3">
                  <c:v>0.24965100000000001</c:v>
                </c:pt>
                <c:pt idx="4">
                  <c:v>5.6180000000000001E-2</c:v>
                </c:pt>
                <c:pt idx="5">
                  <c:v>0.118565</c:v>
                </c:pt>
                <c:pt idx="6">
                  <c:v>9.7920999999999994E-2</c:v>
                </c:pt>
                <c:pt idx="7">
                  <c:v>0</c:v>
                </c:pt>
                <c:pt idx="8">
                  <c:v>1.0359999999999999E-2</c:v>
                </c:pt>
                <c:pt idx="9">
                  <c:v>8.7279999999999996E-3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22.493357</c:v>
                </c:pt>
                <c:pt idx="1">
                  <c:v>35.774521</c:v>
                </c:pt>
                <c:pt idx="2">
                  <c:v>38.851148000000002</c:v>
                </c:pt>
                <c:pt idx="3">
                  <c:v>34.004562</c:v>
                </c:pt>
                <c:pt idx="4">
                  <c:v>36.423403999999998</c:v>
                </c:pt>
                <c:pt idx="5">
                  <c:v>41.343387999999997</c:v>
                </c:pt>
                <c:pt idx="6">
                  <c:v>44.372684</c:v>
                </c:pt>
                <c:pt idx="7">
                  <c:v>34.510787000000001</c:v>
                </c:pt>
                <c:pt idx="8">
                  <c:v>32.549160999999998</c:v>
                </c:pt>
                <c:pt idx="9">
                  <c:v>23.864156000000001</c:v>
                </c:pt>
                <c:pt idx="10">
                  <c:v>22.334897999999999</c:v>
                </c:pt>
                <c:pt idx="11">
                  <c:v>23.767339</c:v>
                </c:pt>
                <c:pt idx="12">
                  <c:v>29.999758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0.13599800000000001</c:v>
                </c:pt>
                <c:pt idx="1">
                  <c:v>0.11230800000000001</c:v>
                </c:pt>
                <c:pt idx="2">
                  <c:v>7.399E-2</c:v>
                </c:pt>
                <c:pt idx="3">
                  <c:v>9.0162999999999993E-2</c:v>
                </c:pt>
                <c:pt idx="4">
                  <c:v>8.4139000000000005E-2</c:v>
                </c:pt>
                <c:pt idx="5">
                  <c:v>3.7238E-2</c:v>
                </c:pt>
                <c:pt idx="6">
                  <c:v>2.6629E-2</c:v>
                </c:pt>
                <c:pt idx="7">
                  <c:v>3.1858999999999998E-2</c:v>
                </c:pt>
                <c:pt idx="8">
                  <c:v>3.9587999999999998E-2</c:v>
                </c:pt>
                <c:pt idx="9">
                  <c:v>0.134767</c:v>
                </c:pt>
                <c:pt idx="10">
                  <c:v>0.12625700000000001</c:v>
                </c:pt>
                <c:pt idx="11">
                  <c:v>0.103766</c:v>
                </c:pt>
                <c:pt idx="12">
                  <c:v>3.1210000000000002E-2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3.0015830000000001</c:v>
                </c:pt>
                <c:pt idx="1">
                  <c:v>3.577315</c:v>
                </c:pt>
                <c:pt idx="2">
                  <c:v>3.6179220000000001</c:v>
                </c:pt>
                <c:pt idx="3">
                  <c:v>3.5173019999999999</c:v>
                </c:pt>
                <c:pt idx="4">
                  <c:v>3.783118</c:v>
                </c:pt>
                <c:pt idx="5">
                  <c:v>3.2446030000000001</c:v>
                </c:pt>
                <c:pt idx="6">
                  <c:v>3.7400570000000002</c:v>
                </c:pt>
                <c:pt idx="7">
                  <c:v>3.104663</c:v>
                </c:pt>
                <c:pt idx="8">
                  <c:v>1.7294940000000001</c:v>
                </c:pt>
                <c:pt idx="9">
                  <c:v>2.8349500000000001</c:v>
                </c:pt>
                <c:pt idx="10">
                  <c:v>3.210191</c:v>
                </c:pt>
                <c:pt idx="11">
                  <c:v>3.9370180000000001</c:v>
                </c:pt>
                <c:pt idx="12">
                  <c:v>3.7397490000000002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9.8298860000000001</c:v>
                </c:pt>
                <c:pt idx="1">
                  <c:v>9.6378819999999994</c:v>
                </c:pt>
                <c:pt idx="2">
                  <c:v>10.65733</c:v>
                </c:pt>
                <c:pt idx="3">
                  <c:v>12.228600500000001</c:v>
                </c:pt>
                <c:pt idx="4">
                  <c:v>15.5976535</c:v>
                </c:pt>
                <c:pt idx="5">
                  <c:v>12.5411815</c:v>
                </c:pt>
                <c:pt idx="6">
                  <c:v>14.683114</c:v>
                </c:pt>
                <c:pt idx="7">
                  <c:v>9.9340825000000006</c:v>
                </c:pt>
                <c:pt idx="8">
                  <c:v>10.860910000000001</c:v>
                </c:pt>
                <c:pt idx="9">
                  <c:v>10.810193999999999</c:v>
                </c:pt>
                <c:pt idx="10">
                  <c:v>8.9918355000000005</c:v>
                </c:pt>
                <c:pt idx="11">
                  <c:v>10.485035</c:v>
                </c:pt>
                <c:pt idx="12">
                  <c:v>5.6085469999999997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9.8298860000000001</c:v>
                </c:pt>
                <c:pt idx="1">
                  <c:v>9.6378819999999994</c:v>
                </c:pt>
                <c:pt idx="2">
                  <c:v>10.65733</c:v>
                </c:pt>
                <c:pt idx="3">
                  <c:v>12.228600500000001</c:v>
                </c:pt>
                <c:pt idx="4">
                  <c:v>15.5976535</c:v>
                </c:pt>
                <c:pt idx="5">
                  <c:v>12.5411815</c:v>
                </c:pt>
                <c:pt idx="6">
                  <c:v>14.683114</c:v>
                </c:pt>
                <c:pt idx="7">
                  <c:v>9.9340825000000006</c:v>
                </c:pt>
                <c:pt idx="8">
                  <c:v>10.860910000000001</c:v>
                </c:pt>
                <c:pt idx="9">
                  <c:v>10.810193999999999</c:v>
                </c:pt>
                <c:pt idx="10">
                  <c:v>8.9918355000000005</c:v>
                </c:pt>
                <c:pt idx="11">
                  <c:v>10.485035</c:v>
                </c:pt>
                <c:pt idx="12">
                  <c:v>5.6085469999999997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89.734262000000001</c:v>
                </c:pt>
                <c:pt idx="1">
                  <c:v>82.194308000000007</c:v>
                </c:pt>
                <c:pt idx="2">
                  <c:v>98.033413999999993</c:v>
                </c:pt>
                <c:pt idx="3">
                  <c:v>118.762416</c:v>
                </c:pt>
                <c:pt idx="4">
                  <c:v>124.350134</c:v>
                </c:pt>
                <c:pt idx="5">
                  <c:v>168.54782399999999</c:v>
                </c:pt>
                <c:pt idx="6">
                  <c:v>175.00929099999999</c:v>
                </c:pt>
                <c:pt idx="7">
                  <c:v>130.854702</c:v>
                </c:pt>
                <c:pt idx="8">
                  <c:v>131.44748999999999</c:v>
                </c:pt>
                <c:pt idx="9">
                  <c:v>70.767787999999996</c:v>
                </c:pt>
                <c:pt idx="10">
                  <c:v>112.440268</c:v>
                </c:pt>
                <c:pt idx="11">
                  <c:v>122.760274</c:v>
                </c:pt>
                <c:pt idx="12">
                  <c:v>114.74408200000001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6585365853658537"/>
                  <c:y val="0.139607677165354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14.803859135111546</c:v>
                </c:pt>
                <c:pt idx="1">
                  <c:v>15.809018219607371</c:v>
                </c:pt>
                <c:pt idx="2">
                  <c:v>14.652068273665483</c:v>
                </c:pt>
                <c:pt idx="3">
                  <c:v>26.271962299084432</c:v>
                </c:pt>
                <c:pt idx="4">
                  <c:v>1.1596821814479148</c:v>
                </c:pt>
                <c:pt idx="5">
                  <c:v>4.6144421879602888E-2</c:v>
                </c:pt>
                <c:pt idx="6">
                  <c:v>0.34365451031388466</c:v>
                </c:pt>
                <c:pt idx="7">
                  <c:v>19.571913674855253</c:v>
                </c:pt>
                <c:pt idx="8">
                  <c:v>7.1159539148919162</c:v>
                </c:pt>
                <c:pt idx="9">
                  <c:v>0.22574336914258358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62992125892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7398668459125535"/>
                  <c:y val="9.9117519685039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008130081300813"/>
                  <c:y val="-0.13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9512207925228858"/>
                  <c:y val="-0.1421566697545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21.366839599673604</c:v>
                </c:pt>
                <c:pt idx="1">
                  <c:v>3.3724338162029106</c:v>
                </c:pt>
                <c:pt idx="2">
                  <c:v>14.500143871912535</c:v>
                </c:pt>
                <c:pt idx="3">
                  <c:v>40.95257946940535</c:v>
                </c:pt>
                <c:pt idx="4">
                  <c:v>0</c:v>
                </c:pt>
                <c:pt idx="5">
                  <c:v>4.1260316419674793E-2</c:v>
                </c:pt>
                <c:pt idx="6">
                  <c:v>0.20474775125934944</c:v>
                </c:pt>
                <c:pt idx="7">
                  <c:v>15.711748534223071</c:v>
                </c:pt>
                <c:pt idx="8">
                  <c:v>3.7779618108238653</c:v>
                </c:pt>
                <c:pt idx="9">
                  <c:v>7.2284830079631671E-2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0.25442500000000001</c:v>
                </c:pt>
                <c:pt idx="1">
                  <c:v>0.28212599999999999</c:v>
                </c:pt>
                <c:pt idx="2">
                  <c:v>0.27610800000000002</c:v>
                </c:pt>
                <c:pt idx="3">
                  <c:v>0.29790899999999998</c:v>
                </c:pt>
                <c:pt idx="4">
                  <c:v>0.28383700000000001</c:v>
                </c:pt>
                <c:pt idx="5">
                  <c:v>0.30198999999999998</c:v>
                </c:pt>
                <c:pt idx="6">
                  <c:v>0.28963</c:v>
                </c:pt>
                <c:pt idx="7">
                  <c:v>0.28927700000000001</c:v>
                </c:pt>
                <c:pt idx="8">
                  <c:v>0.30293500000000001</c:v>
                </c:pt>
                <c:pt idx="9">
                  <c:v>0.28046900000000002</c:v>
                </c:pt>
                <c:pt idx="10">
                  <c:v>0.30561100000000002</c:v>
                </c:pt>
                <c:pt idx="11">
                  <c:v>0.29624200000000001</c:v>
                </c:pt>
                <c:pt idx="12">
                  <c:v>0.28508299999999998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296.21159499999999</c:v>
                </c:pt>
                <c:pt idx="1">
                  <c:v>261.84115199999997</c:v>
                </c:pt>
                <c:pt idx="2">
                  <c:v>260.1001</c:v>
                </c:pt>
                <c:pt idx="3">
                  <c:v>261.00792300000001</c:v>
                </c:pt>
                <c:pt idx="4">
                  <c:v>265.32891099999995</c:v>
                </c:pt>
                <c:pt idx="5">
                  <c:v>263.81678599999998</c:v>
                </c:pt>
                <c:pt idx="6">
                  <c:v>280.24951799999997</c:v>
                </c:pt>
                <c:pt idx="7">
                  <c:v>278.46901400000002</c:v>
                </c:pt>
                <c:pt idx="8">
                  <c:v>329.85294699999997</c:v>
                </c:pt>
                <c:pt idx="9">
                  <c:v>283.46044599999999</c:v>
                </c:pt>
                <c:pt idx="10">
                  <c:v>293.933269</c:v>
                </c:pt>
                <c:pt idx="11">
                  <c:v>313.17357400000003</c:v>
                </c:pt>
                <c:pt idx="12">
                  <c:v>271.11984999999999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289.33312999999998</c:v>
                </c:pt>
                <c:pt idx="1">
                  <c:v>284.83144399999998</c:v>
                </c:pt>
                <c:pt idx="2">
                  <c:v>279.54366599999997</c:v>
                </c:pt>
                <c:pt idx="3">
                  <c:v>275.34098399999999</c:v>
                </c:pt>
                <c:pt idx="4">
                  <c:v>351.45923099999999</c:v>
                </c:pt>
                <c:pt idx="5">
                  <c:v>250.52108799999999</c:v>
                </c:pt>
                <c:pt idx="6">
                  <c:v>306.93109600000003</c:v>
                </c:pt>
                <c:pt idx="7">
                  <c:v>329.65078499999998</c:v>
                </c:pt>
                <c:pt idx="8">
                  <c:v>385.37423100000001</c:v>
                </c:pt>
                <c:pt idx="9">
                  <c:v>320.60776499999997</c:v>
                </c:pt>
                <c:pt idx="10">
                  <c:v>343.70541600000001</c:v>
                </c:pt>
                <c:pt idx="11">
                  <c:v>348.60822999999999</c:v>
                </c:pt>
                <c:pt idx="12">
                  <c:v>282.95672999999999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0.82934099999999999</c:v>
                </c:pt>
                <c:pt idx="1">
                  <c:v>1.5724450000000001</c:v>
                </c:pt>
                <c:pt idx="2">
                  <c:v>1.573337</c:v>
                </c:pt>
                <c:pt idx="3">
                  <c:v>2.0671949999999999</c:v>
                </c:pt>
                <c:pt idx="4">
                  <c:v>0.80873799999999996</c:v>
                </c:pt>
                <c:pt idx="5">
                  <c:v>2.7590569999999999</c:v>
                </c:pt>
                <c:pt idx="6">
                  <c:v>2.6998280000000001</c:v>
                </c:pt>
                <c:pt idx="7">
                  <c:v>1.3149919999999999</c:v>
                </c:pt>
                <c:pt idx="8">
                  <c:v>0.44324000000000002</c:v>
                </c:pt>
                <c:pt idx="9">
                  <c:v>1.0899650000000001</c:v>
                </c:pt>
                <c:pt idx="10">
                  <c:v>0.66913</c:v>
                </c:pt>
                <c:pt idx="11">
                  <c:v>0.66808100000000004</c:v>
                </c:pt>
                <c:pt idx="12">
                  <c:v>1.414679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42.67051</c:v>
                </c:pt>
                <c:pt idx="1">
                  <c:v>130.23741999999999</c:v>
                </c:pt>
                <c:pt idx="2">
                  <c:v>103.685765</c:v>
                </c:pt>
                <c:pt idx="3">
                  <c:v>131.84913700000001</c:v>
                </c:pt>
                <c:pt idx="4">
                  <c:v>63.874986999999997</c:v>
                </c:pt>
                <c:pt idx="5">
                  <c:v>209.60142099999999</c:v>
                </c:pt>
                <c:pt idx="6">
                  <c:v>178.40248800000001</c:v>
                </c:pt>
                <c:pt idx="7">
                  <c:v>103.232878</c:v>
                </c:pt>
                <c:pt idx="8">
                  <c:v>57.758575</c:v>
                </c:pt>
                <c:pt idx="9">
                  <c:v>99.872924999999995</c:v>
                </c:pt>
                <c:pt idx="10">
                  <c:v>70.816050000000004</c:v>
                </c:pt>
                <c:pt idx="11">
                  <c:v>53.196173999999999</c:v>
                </c:pt>
                <c:pt idx="12">
                  <c:v>108.558363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20.382895000000001</c:v>
                </c:pt>
                <c:pt idx="1">
                  <c:v>32.428702000000001</c:v>
                </c:pt>
                <c:pt idx="2">
                  <c:v>30.033574000000002</c:v>
                </c:pt>
                <c:pt idx="3">
                  <c:v>30.564440999999999</c:v>
                </c:pt>
                <c:pt idx="4">
                  <c:v>30.691880000000001</c:v>
                </c:pt>
                <c:pt idx="5">
                  <c:v>35.002752999999998</c:v>
                </c:pt>
                <c:pt idx="6">
                  <c:v>33.602015999999999</c:v>
                </c:pt>
                <c:pt idx="7">
                  <c:v>31.322213000000001</c:v>
                </c:pt>
                <c:pt idx="8">
                  <c:v>29.6997</c:v>
                </c:pt>
                <c:pt idx="9">
                  <c:v>24.842165000000001</c:v>
                </c:pt>
                <c:pt idx="10">
                  <c:v>23.549019999999999</c:v>
                </c:pt>
                <c:pt idx="11">
                  <c:v>24.433125</c:v>
                </c:pt>
                <c:pt idx="12">
                  <c:v>26.103355000000001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feb.-23</c:v>
                </c:pt>
                <c:pt idx="1">
                  <c:v>mar.-23</c:v>
                </c:pt>
                <c:pt idx="2">
                  <c:v>abr.-23</c:v>
                </c:pt>
                <c:pt idx="3">
                  <c:v>may.-23</c:v>
                </c:pt>
                <c:pt idx="4">
                  <c:v>jun.-23</c:v>
                </c:pt>
                <c:pt idx="5">
                  <c:v>jul.-23</c:v>
                </c:pt>
                <c:pt idx="6">
                  <c:v>ago.-23</c:v>
                </c:pt>
                <c:pt idx="7">
                  <c:v>sep.-23</c:v>
                </c:pt>
                <c:pt idx="8">
                  <c:v>oct.-23</c:v>
                </c:pt>
                <c:pt idx="9">
                  <c:v>nov.-23</c:v>
                </c:pt>
                <c:pt idx="10">
                  <c:v>dic.-23</c:v>
                </c:pt>
                <c:pt idx="11">
                  <c:v>ene.-24</c:v>
                </c:pt>
                <c:pt idx="12">
                  <c:v>feb.-24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0.71108700000000002</c:v>
                </c:pt>
                <c:pt idx="1">
                  <c:v>0.73842799999999997</c:v>
                </c:pt>
                <c:pt idx="2">
                  <c:v>0.63095199999999996</c:v>
                </c:pt>
                <c:pt idx="3">
                  <c:v>0.65055600000000002</c:v>
                </c:pt>
                <c:pt idx="4">
                  <c:v>0.66513100000000003</c:v>
                </c:pt>
                <c:pt idx="5">
                  <c:v>0.64607300000000001</c:v>
                </c:pt>
                <c:pt idx="6">
                  <c:v>0.37482700000000002</c:v>
                </c:pt>
                <c:pt idx="7">
                  <c:v>0.37211699999999998</c:v>
                </c:pt>
                <c:pt idx="8">
                  <c:v>0.52430399999999999</c:v>
                </c:pt>
                <c:pt idx="9">
                  <c:v>0.42454199999999997</c:v>
                </c:pt>
                <c:pt idx="10">
                  <c:v>0.44537900000000002</c:v>
                </c:pt>
                <c:pt idx="11">
                  <c:v>0.50013399999999997</c:v>
                </c:pt>
                <c:pt idx="12">
                  <c:v>0.49944300000000003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Febrero 2024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80" zoomScaleNormal="80" workbookViewId="0">
      <selection activeCell="C152" sqref="C152"/>
    </sheetView>
  </sheetViews>
  <sheetFormatPr baseColWidth="10" defaultColWidth="11.42578125" defaultRowHeight="12"/>
  <cols>
    <col min="1" max="1" width="11" style="102" bestFit="1" customWidth="1"/>
    <col min="2" max="2" width="17.7109375" style="102" bestFit="1" customWidth="1"/>
    <col min="3" max="3" width="31.7109375" style="102" bestFit="1" customWidth="1"/>
    <col min="4" max="4" width="27" style="102" bestFit="1" customWidth="1"/>
    <col min="5" max="5" width="27.85546875" style="102" bestFit="1" customWidth="1"/>
    <col min="6" max="6" width="42.85546875" style="102" bestFit="1" customWidth="1"/>
    <col min="7" max="7" width="31.5703125" style="102" bestFit="1" customWidth="1"/>
    <col min="8" max="8" width="26.5703125" style="102" bestFit="1" customWidth="1"/>
    <col min="9" max="9" width="27.42578125" style="102" bestFit="1" customWidth="1"/>
    <col min="10" max="10" width="36.7109375" style="102" bestFit="1" customWidth="1"/>
    <col min="11" max="11" width="37.42578125" style="102" bestFit="1" customWidth="1"/>
    <col min="12" max="12" width="32.42578125" style="102" bestFit="1" customWidth="1"/>
    <col min="13" max="13" width="33.42578125" style="102" bestFit="1" customWidth="1"/>
    <col min="14" max="14" width="42.71093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119</v>
      </c>
      <c r="B2" s="133" t="s">
        <v>120</v>
      </c>
    </row>
    <row r="4" spans="1:33" ht="15">
      <c r="A4" s="134" t="s">
        <v>67</v>
      </c>
      <c r="B4" s="199" t="s">
        <v>119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4" t="s">
        <v>59</v>
      </c>
      <c r="C6" s="184" t="s">
        <v>60</v>
      </c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59</v>
      </c>
      <c r="K6" s="184" t="s">
        <v>60</v>
      </c>
      <c r="L6" s="184" t="s">
        <v>61</v>
      </c>
      <c r="M6" s="184" t="s">
        <v>62</v>
      </c>
      <c r="N6" s="184" t="s">
        <v>63</v>
      </c>
      <c r="O6" s="184" t="s">
        <v>64</v>
      </c>
      <c r="P6" s="184" t="s">
        <v>65</v>
      </c>
      <c r="Q6" s="184" t="s">
        <v>66</v>
      </c>
      <c r="R6" s="184" t="s">
        <v>59</v>
      </c>
      <c r="S6" s="184" t="s">
        <v>60</v>
      </c>
      <c r="T6" s="184" t="s">
        <v>61</v>
      </c>
      <c r="U6" s="184" t="s">
        <v>62</v>
      </c>
      <c r="V6" s="184" t="s">
        <v>63</v>
      </c>
      <c r="W6" s="184" t="s">
        <v>64</v>
      </c>
      <c r="X6" s="184" t="s">
        <v>65</v>
      </c>
      <c r="Y6" s="184" t="s">
        <v>66</v>
      </c>
      <c r="Z6" s="184" t="s">
        <v>59</v>
      </c>
      <c r="AA6" s="184" t="s">
        <v>60</v>
      </c>
      <c r="AB6" s="184" t="s">
        <v>61</v>
      </c>
      <c r="AC6" s="184" t="s">
        <v>62</v>
      </c>
      <c r="AD6" s="184" t="s">
        <v>63</v>
      </c>
      <c r="AE6" s="184" t="s">
        <v>64</v>
      </c>
      <c r="AF6" s="184" t="s">
        <v>65</v>
      </c>
      <c r="AG6" s="184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69">
        <v>0</v>
      </c>
      <c r="C8" s="169">
        <v>0</v>
      </c>
      <c r="D8" s="170">
        <v>0</v>
      </c>
      <c r="E8" s="169">
        <v>0</v>
      </c>
      <c r="F8" s="169">
        <v>0</v>
      </c>
      <c r="G8" s="170">
        <v>0</v>
      </c>
      <c r="H8" s="169">
        <v>0</v>
      </c>
      <c r="I8" s="170">
        <v>0</v>
      </c>
      <c r="J8" s="169">
        <v>0</v>
      </c>
      <c r="K8" s="169">
        <v>0</v>
      </c>
      <c r="L8" s="170">
        <v>0</v>
      </c>
      <c r="M8" s="169">
        <v>0</v>
      </c>
      <c r="N8" s="169">
        <v>0</v>
      </c>
      <c r="O8" s="170">
        <v>0</v>
      </c>
      <c r="P8" s="169">
        <v>0</v>
      </c>
      <c r="Q8" s="170">
        <v>0</v>
      </c>
      <c r="R8" s="169">
        <v>0</v>
      </c>
      <c r="S8" s="169">
        <v>0</v>
      </c>
      <c r="T8" s="170">
        <v>0</v>
      </c>
      <c r="U8" s="169">
        <v>0</v>
      </c>
      <c r="V8" s="169">
        <v>0</v>
      </c>
      <c r="W8" s="170">
        <v>0</v>
      </c>
      <c r="X8" s="169">
        <v>0</v>
      </c>
      <c r="Y8" s="170">
        <v>0</v>
      </c>
      <c r="Z8" s="169">
        <v>285.08300000000003</v>
      </c>
      <c r="AA8" s="169">
        <v>254.42500000000001</v>
      </c>
      <c r="AB8" s="170">
        <v>0.1204991648</v>
      </c>
      <c r="AC8" s="169">
        <v>581.32500000000005</v>
      </c>
      <c r="AD8" s="169">
        <v>529.4</v>
      </c>
      <c r="AE8" s="170">
        <v>9.8082735200000007E-2</v>
      </c>
      <c r="AF8" s="169">
        <v>3491.2170000000001</v>
      </c>
      <c r="AG8" s="170">
        <v>2.1989110400000001E-2</v>
      </c>
    </row>
    <row r="9" spans="1:33">
      <c r="A9" s="133" t="s">
        <v>11</v>
      </c>
      <c r="B9" s="169">
        <v>0</v>
      </c>
      <c r="C9" s="169">
        <v>0</v>
      </c>
      <c r="D9" s="170">
        <v>0</v>
      </c>
      <c r="E9" s="169">
        <v>0</v>
      </c>
      <c r="F9" s="169">
        <v>0</v>
      </c>
      <c r="G9" s="170">
        <v>0</v>
      </c>
      <c r="H9" s="169">
        <v>0</v>
      </c>
      <c r="I9" s="170">
        <v>0</v>
      </c>
      <c r="J9" s="169">
        <v>0</v>
      </c>
      <c r="K9" s="169">
        <v>0</v>
      </c>
      <c r="L9" s="170">
        <v>0</v>
      </c>
      <c r="M9" s="169">
        <v>0</v>
      </c>
      <c r="N9" s="169">
        <v>0</v>
      </c>
      <c r="O9" s="170">
        <v>0</v>
      </c>
      <c r="P9" s="169">
        <v>0</v>
      </c>
      <c r="Q9" s="170">
        <v>0</v>
      </c>
      <c r="R9" s="169">
        <v>-662.76199999999994</v>
      </c>
      <c r="S9" s="169">
        <v>-706.97299999999996</v>
      </c>
      <c r="T9" s="170">
        <v>-6.2535627199999999E-2</v>
      </c>
      <c r="U9" s="169">
        <v>-1368.816</v>
      </c>
      <c r="V9" s="169">
        <v>-1434.691</v>
      </c>
      <c r="W9" s="170">
        <v>-4.59158104E-2</v>
      </c>
      <c r="X9" s="169">
        <v>60557.906999999999</v>
      </c>
      <c r="Y9" s="170">
        <v>-0.22782500980000001</v>
      </c>
      <c r="Z9" s="169">
        <v>0</v>
      </c>
      <c r="AA9" s="169">
        <v>0</v>
      </c>
      <c r="AB9" s="170">
        <v>0</v>
      </c>
      <c r="AC9" s="169">
        <v>0</v>
      </c>
      <c r="AD9" s="169">
        <v>0</v>
      </c>
      <c r="AE9" s="170">
        <v>0</v>
      </c>
      <c r="AF9" s="169">
        <v>0</v>
      </c>
      <c r="AG9" s="170">
        <v>0</v>
      </c>
    </row>
    <row r="10" spans="1:33">
      <c r="A10" s="133" t="s">
        <v>78</v>
      </c>
      <c r="B10" s="169">
        <v>14650.563</v>
      </c>
      <c r="C10" s="169">
        <v>15689.355</v>
      </c>
      <c r="D10" s="170">
        <v>-6.6209987600000006E-2</v>
      </c>
      <c r="E10" s="169">
        <v>30581.138999999999</v>
      </c>
      <c r="F10" s="169">
        <v>32327.862000000001</v>
      </c>
      <c r="G10" s="170">
        <v>-5.4031503799999998E-2</v>
      </c>
      <c r="H10" s="169">
        <v>184529.17</v>
      </c>
      <c r="I10" s="170">
        <v>-5.2458847000000003E-2</v>
      </c>
      <c r="J10" s="169">
        <v>14374.195</v>
      </c>
      <c r="K10" s="169">
        <v>14004.585999999999</v>
      </c>
      <c r="L10" s="170">
        <v>2.6391997600000001E-2</v>
      </c>
      <c r="M10" s="169">
        <v>29667.552</v>
      </c>
      <c r="N10" s="169">
        <v>29327.510999999999</v>
      </c>
      <c r="O10" s="170">
        <v>1.15946082E-2</v>
      </c>
      <c r="P10" s="169">
        <v>191426.26300000001</v>
      </c>
      <c r="Q10" s="170">
        <v>3.9370034700000001E-2</v>
      </c>
      <c r="R10" s="169">
        <v>4823.5140000000001</v>
      </c>
      <c r="S10" s="169">
        <v>15008.727000000001</v>
      </c>
      <c r="T10" s="170">
        <v>-0.67861937920000004</v>
      </c>
      <c r="U10" s="169">
        <v>10112.813</v>
      </c>
      <c r="V10" s="169">
        <v>20026.655999999999</v>
      </c>
      <c r="W10" s="170">
        <v>-0.49503237090000002</v>
      </c>
      <c r="X10" s="169">
        <v>240890.253</v>
      </c>
      <c r="Y10" s="170">
        <v>-0.33497249690000003</v>
      </c>
      <c r="Z10" s="169">
        <v>147631.508</v>
      </c>
      <c r="AA10" s="169">
        <v>151179.019</v>
      </c>
      <c r="AB10" s="170">
        <v>-2.3465630500000001E-2</v>
      </c>
      <c r="AC10" s="169">
        <v>314408.60100000002</v>
      </c>
      <c r="AD10" s="169">
        <v>300845.56900000002</v>
      </c>
      <c r="AE10" s="170">
        <v>4.5083037300000003E-2</v>
      </c>
      <c r="AF10" s="169">
        <v>1896722.0390000001</v>
      </c>
      <c r="AG10" s="170">
        <v>6.4479676999999999E-2</v>
      </c>
    </row>
    <row r="11" spans="1:33">
      <c r="A11" s="133" t="s">
        <v>9</v>
      </c>
      <c r="B11" s="169">
        <v>0</v>
      </c>
      <c r="C11" s="169">
        <v>10.888</v>
      </c>
      <c r="D11" s="170">
        <v>-1</v>
      </c>
      <c r="E11" s="169">
        <v>3.6589999999999998</v>
      </c>
      <c r="F11" s="169">
        <v>14.613</v>
      </c>
      <c r="G11" s="170">
        <v>-0.74960651469999995</v>
      </c>
      <c r="H11" s="169">
        <v>242.285</v>
      </c>
      <c r="I11" s="170">
        <v>-0.46564052119999999</v>
      </c>
      <c r="J11" s="169">
        <v>1.762</v>
      </c>
      <c r="K11" s="169">
        <v>2.0529999999999999</v>
      </c>
      <c r="L11" s="170">
        <v>-0.1417437896</v>
      </c>
      <c r="M11" s="169">
        <v>4.21</v>
      </c>
      <c r="N11" s="169">
        <v>5.5350000000000001</v>
      </c>
      <c r="O11" s="170">
        <v>-0.23938572720000001</v>
      </c>
      <c r="P11" s="169">
        <v>42.811</v>
      </c>
      <c r="Q11" s="170">
        <v>-0.58350196519999997</v>
      </c>
      <c r="R11" s="169">
        <v>23798.262999999999</v>
      </c>
      <c r="S11" s="169">
        <v>32328.427</v>
      </c>
      <c r="T11" s="170">
        <v>-0.26385954379999998</v>
      </c>
      <c r="U11" s="169">
        <v>48952.54</v>
      </c>
      <c r="V11" s="169">
        <v>81713.527000000002</v>
      </c>
      <c r="W11" s="170">
        <v>-0.40092489219999999</v>
      </c>
      <c r="X11" s="169">
        <v>465412.93699999998</v>
      </c>
      <c r="Y11" s="170">
        <v>3.1232544300000002E-2</v>
      </c>
      <c r="Z11" s="169">
        <v>23301.41</v>
      </c>
      <c r="AA11" s="169">
        <v>26990.495999999999</v>
      </c>
      <c r="AB11" s="170">
        <v>-0.13668092649999999</v>
      </c>
      <c r="AC11" s="169">
        <v>51333.421000000002</v>
      </c>
      <c r="AD11" s="169">
        <v>41750.987000000001</v>
      </c>
      <c r="AE11" s="170">
        <v>0.2295139514</v>
      </c>
      <c r="AF11" s="169">
        <v>265554.66200000001</v>
      </c>
      <c r="AG11" s="170">
        <v>2.0132799999999999E-2</v>
      </c>
    </row>
    <row r="12" spans="1:33">
      <c r="A12" s="133" t="s">
        <v>8</v>
      </c>
      <c r="B12" s="169">
        <v>0</v>
      </c>
      <c r="C12" s="169">
        <v>0</v>
      </c>
      <c r="D12" s="170">
        <v>0</v>
      </c>
      <c r="E12" s="169">
        <v>0</v>
      </c>
      <c r="F12" s="169">
        <v>0</v>
      </c>
      <c r="G12" s="170">
        <v>0</v>
      </c>
      <c r="H12" s="169">
        <v>0</v>
      </c>
      <c r="I12" s="170">
        <v>0</v>
      </c>
      <c r="J12" s="169">
        <v>0</v>
      </c>
      <c r="K12" s="169">
        <v>0</v>
      </c>
      <c r="L12" s="170">
        <v>0</v>
      </c>
      <c r="M12" s="169">
        <v>0</v>
      </c>
      <c r="N12" s="169">
        <v>0</v>
      </c>
      <c r="O12" s="170">
        <v>0</v>
      </c>
      <c r="P12" s="169">
        <v>0</v>
      </c>
      <c r="Q12" s="170">
        <v>0</v>
      </c>
      <c r="R12" s="169">
        <v>0</v>
      </c>
      <c r="S12" s="169">
        <v>0</v>
      </c>
      <c r="T12" s="170">
        <v>0</v>
      </c>
      <c r="U12" s="169">
        <v>0</v>
      </c>
      <c r="V12" s="169">
        <v>0</v>
      </c>
      <c r="W12" s="170">
        <v>0</v>
      </c>
      <c r="X12" s="169">
        <v>0</v>
      </c>
      <c r="Y12" s="170">
        <v>0</v>
      </c>
      <c r="Z12" s="169">
        <v>100186.932</v>
      </c>
      <c r="AA12" s="169">
        <v>118052.049</v>
      </c>
      <c r="AB12" s="170">
        <v>-0.1513325449</v>
      </c>
      <c r="AC12" s="169">
        <v>218551.402</v>
      </c>
      <c r="AD12" s="169">
        <v>236082.43799999999</v>
      </c>
      <c r="AE12" s="170">
        <v>-7.4258111500000001E-2</v>
      </c>
      <c r="AF12" s="169">
        <v>1200118.96</v>
      </c>
      <c r="AG12" s="170">
        <v>-1.8913534999999999E-2</v>
      </c>
    </row>
    <row r="13" spans="1:33">
      <c r="A13" s="133" t="s">
        <v>25</v>
      </c>
      <c r="B13" s="169">
        <v>0</v>
      </c>
      <c r="C13" s="169">
        <v>0</v>
      </c>
      <c r="D13" s="170">
        <v>0</v>
      </c>
      <c r="E13" s="169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69">
        <v>0</v>
      </c>
      <c r="L13" s="170">
        <v>0</v>
      </c>
      <c r="M13" s="169">
        <v>0</v>
      </c>
      <c r="N13" s="169">
        <v>0</v>
      </c>
      <c r="O13" s="170">
        <v>0</v>
      </c>
      <c r="P13" s="169">
        <v>0</v>
      </c>
      <c r="Q13" s="170">
        <v>0</v>
      </c>
      <c r="R13" s="169">
        <v>218491.361</v>
      </c>
      <c r="S13" s="169">
        <v>250507.49100000001</v>
      </c>
      <c r="T13" s="170">
        <v>-0.12780508030000001</v>
      </c>
      <c r="U13" s="169">
        <v>462511.65399999998</v>
      </c>
      <c r="V13" s="169">
        <v>486841.63199999998</v>
      </c>
      <c r="W13" s="170">
        <v>-4.9975138500000002E-2</v>
      </c>
      <c r="X13" s="169">
        <v>3046901.6469999999</v>
      </c>
      <c r="Y13" s="170">
        <v>-0.2031770859</v>
      </c>
      <c r="Z13" s="169">
        <v>282956.73</v>
      </c>
      <c r="AA13" s="169">
        <v>289333.13</v>
      </c>
      <c r="AB13" s="170">
        <v>-2.2038264299999999E-2</v>
      </c>
      <c r="AC13" s="169">
        <v>631564.96</v>
      </c>
      <c r="AD13" s="169">
        <v>568751.94499999995</v>
      </c>
      <c r="AE13" s="170">
        <v>0.1104400883</v>
      </c>
      <c r="AF13" s="169">
        <v>3759530.6660000002</v>
      </c>
      <c r="AG13" s="170">
        <v>6.7113161800000001E-2</v>
      </c>
    </row>
    <row r="14" spans="1:33">
      <c r="A14" s="133" t="s">
        <v>24</v>
      </c>
      <c r="B14" s="169">
        <v>0</v>
      </c>
      <c r="C14" s="169">
        <v>0</v>
      </c>
      <c r="D14" s="170">
        <v>0</v>
      </c>
      <c r="E14" s="169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69">
        <v>0</v>
      </c>
      <c r="L14" s="170">
        <v>0</v>
      </c>
      <c r="M14" s="169">
        <v>0</v>
      </c>
      <c r="N14" s="169">
        <v>0</v>
      </c>
      <c r="O14" s="170">
        <v>0</v>
      </c>
      <c r="P14" s="169">
        <v>0</v>
      </c>
      <c r="Q14" s="170">
        <v>0</v>
      </c>
      <c r="R14" s="169">
        <v>0</v>
      </c>
      <c r="S14" s="169">
        <v>0</v>
      </c>
      <c r="T14" s="170">
        <v>0</v>
      </c>
      <c r="U14" s="169">
        <v>0</v>
      </c>
      <c r="V14" s="169">
        <v>0</v>
      </c>
      <c r="W14" s="170">
        <v>0</v>
      </c>
      <c r="X14" s="169">
        <v>0</v>
      </c>
      <c r="Y14" s="170">
        <v>-1</v>
      </c>
      <c r="Z14" s="169">
        <v>0</v>
      </c>
      <c r="AA14" s="169">
        <v>-9.9689999999999994</v>
      </c>
      <c r="AB14" s="170">
        <v>-1</v>
      </c>
      <c r="AC14" s="169">
        <v>0</v>
      </c>
      <c r="AD14" s="169">
        <v>-23.817</v>
      </c>
      <c r="AE14" s="170">
        <v>-1</v>
      </c>
      <c r="AF14" s="169">
        <v>-42.170999999999999</v>
      </c>
      <c r="AG14" s="170">
        <v>-0.52875772440000002</v>
      </c>
    </row>
    <row r="15" spans="1:33">
      <c r="A15" s="133" t="s">
        <v>6</v>
      </c>
      <c r="B15" s="169">
        <v>0</v>
      </c>
      <c r="C15" s="169">
        <v>0</v>
      </c>
      <c r="D15" s="170">
        <v>0</v>
      </c>
      <c r="E15" s="169">
        <v>0</v>
      </c>
      <c r="F15" s="169">
        <v>0</v>
      </c>
      <c r="G15" s="170">
        <v>0</v>
      </c>
      <c r="H15" s="169">
        <v>0</v>
      </c>
      <c r="I15" s="170">
        <v>0</v>
      </c>
      <c r="J15" s="169">
        <v>0</v>
      </c>
      <c r="K15" s="169">
        <v>0</v>
      </c>
      <c r="L15" s="170">
        <v>0</v>
      </c>
      <c r="M15" s="169">
        <v>0</v>
      </c>
      <c r="N15" s="169">
        <v>0</v>
      </c>
      <c r="O15" s="170">
        <v>0</v>
      </c>
      <c r="P15" s="169">
        <v>0</v>
      </c>
      <c r="Q15" s="170">
        <v>0</v>
      </c>
      <c r="R15" s="169">
        <v>0</v>
      </c>
      <c r="S15" s="169">
        <v>0</v>
      </c>
      <c r="T15" s="170">
        <v>0</v>
      </c>
      <c r="U15" s="169">
        <v>0</v>
      </c>
      <c r="V15" s="169">
        <v>0</v>
      </c>
      <c r="W15" s="170">
        <v>0</v>
      </c>
      <c r="X15" s="169">
        <v>0</v>
      </c>
      <c r="Y15" s="170">
        <v>0</v>
      </c>
      <c r="Z15" s="169">
        <v>1414.6790000000001</v>
      </c>
      <c r="AA15" s="169">
        <v>829.34100000000001</v>
      </c>
      <c r="AB15" s="170">
        <v>0.70578688379999999</v>
      </c>
      <c r="AC15" s="169">
        <v>2082.7600000000002</v>
      </c>
      <c r="AD15" s="169">
        <v>2478.8449999999998</v>
      </c>
      <c r="AE15" s="170">
        <v>-0.15978611009999999</v>
      </c>
      <c r="AF15" s="169">
        <v>17080.687000000002</v>
      </c>
      <c r="AG15" s="170">
        <v>-0.2497522261</v>
      </c>
    </row>
    <row r="16" spans="1:33">
      <c r="A16" s="133" t="s">
        <v>5</v>
      </c>
      <c r="B16" s="169">
        <v>0</v>
      </c>
      <c r="C16" s="169">
        <v>0</v>
      </c>
      <c r="D16" s="170">
        <v>0</v>
      </c>
      <c r="E16" s="169">
        <v>0</v>
      </c>
      <c r="F16" s="169">
        <v>0</v>
      </c>
      <c r="G16" s="170">
        <v>0</v>
      </c>
      <c r="H16" s="169">
        <v>0</v>
      </c>
      <c r="I16" s="170">
        <v>0</v>
      </c>
      <c r="J16" s="169">
        <v>0</v>
      </c>
      <c r="K16" s="169">
        <v>0</v>
      </c>
      <c r="L16" s="170">
        <v>0</v>
      </c>
      <c r="M16" s="169">
        <v>0</v>
      </c>
      <c r="N16" s="169">
        <v>0</v>
      </c>
      <c r="O16" s="170">
        <v>0</v>
      </c>
      <c r="P16" s="169">
        <v>0</v>
      </c>
      <c r="Q16" s="170">
        <v>0</v>
      </c>
      <c r="R16" s="169">
        <v>0</v>
      </c>
      <c r="S16" s="169">
        <v>183.24</v>
      </c>
      <c r="T16" s="170">
        <v>-1</v>
      </c>
      <c r="U16" s="169">
        <v>0</v>
      </c>
      <c r="V16" s="169">
        <v>398.97</v>
      </c>
      <c r="W16" s="170">
        <v>-1</v>
      </c>
      <c r="X16" s="169">
        <v>869.1</v>
      </c>
      <c r="Y16" s="170">
        <v>-0.38118653260000002</v>
      </c>
      <c r="Z16" s="169">
        <v>108558.363</v>
      </c>
      <c r="AA16" s="169">
        <v>42670.51</v>
      </c>
      <c r="AB16" s="170">
        <v>1.5441074643999999</v>
      </c>
      <c r="AC16" s="169">
        <v>161754.53700000001</v>
      </c>
      <c r="AD16" s="169">
        <v>175398.67600000001</v>
      </c>
      <c r="AE16" s="170">
        <v>-7.7789292999999995E-2</v>
      </c>
      <c r="AF16" s="169">
        <v>1311086.183</v>
      </c>
      <c r="AG16" s="170">
        <v>-6.3198833900000001E-2</v>
      </c>
    </row>
    <row r="17" spans="1:33">
      <c r="A17" s="133" t="s">
        <v>4</v>
      </c>
      <c r="B17" s="169">
        <v>0</v>
      </c>
      <c r="C17" s="169">
        <v>0</v>
      </c>
      <c r="D17" s="170">
        <v>0</v>
      </c>
      <c r="E17" s="169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4.8739999999999997</v>
      </c>
      <c r="K17" s="169">
        <v>4.2869999999999999</v>
      </c>
      <c r="L17" s="170">
        <v>0.13692558899999999</v>
      </c>
      <c r="M17" s="169">
        <v>8.3659999999999997</v>
      </c>
      <c r="N17" s="169">
        <v>8.6300000000000008</v>
      </c>
      <c r="O17" s="170">
        <v>-3.05909618E-2</v>
      </c>
      <c r="P17" s="169">
        <v>76.263000000000005</v>
      </c>
      <c r="Q17" s="170">
        <v>6.7585917300000006E-2</v>
      </c>
      <c r="R17" s="169">
        <v>29999.758000000002</v>
      </c>
      <c r="S17" s="169">
        <v>22493.357</v>
      </c>
      <c r="T17" s="170">
        <v>0.3337163501</v>
      </c>
      <c r="U17" s="169">
        <v>53767.097000000002</v>
      </c>
      <c r="V17" s="169">
        <v>41033.275000000001</v>
      </c>
      <c r="W17" s="170">
        <v>0.31032916579999997</v>
      </c>
      <c r="X17" s="169">
        <v>397795.80599999998</v>
      </c>
      <c r="Y17" s="170">
        <v>0.42983714099999998</v>
      </c>
      <c r="Z17" s="169">
        <v>26103.355</v>
      </c>
      <c r="AA17" s="169">
        <v>20382.895</v>
      </c>
      <c r="AB17" s="170">
        <v>0.2806500254</v>
      </c>
      <c r="AC17" s="169">
        <v>50536.480000000003</v>
      </c>
      <c r="AD17" s="169">
        <v>42504.38</v>
      </c>
      <c r="AE17" s="170">
        <v>0.1889711131</v>
      </c>
      <c r="AF17" s="169">
        <v>352272.94400000002</v>
      </c>
      <c r="AG17" s="170">
        <v>0.1005642617</v>
      </c>
    </row>
    <row r="18" spans="1:33">
      <c r="A18" s="133" t="s">
        <v>22</v>
      </c>
      <c r="B18" s="169">
        <v>0</v>
      </c>
      <c r="C18" s="169">
        <v>0</v>
      </c>
      <c r="D18" s="170">
        <v>0</v>
      </c>
      <c r="E18" s="169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69">
        <v>0</v>
      </c>
      <c r="L18" s="170">
        <v>0</v>
      </c>
      <c r="M18" s="169">
        <v>0</v>
      </c>
      <c r="N18" s="169">
        <v>0</v>
      </c>
      <c r="O18" s="170">
        <v>0</v>
      </c>
      <c r="P18" s="169">
        <v>0</v>
      </c>
      <c r="Q18" s="170">
        <v>0</v>
      </c>
      <c r="R18" s="169">
        <v>31.21</v>
      </c>
      <c r="S18" s="169">
        <v>135.99799999999999</v>
      </c>
      <c r="T18" s="170">
        <v>-0.77051133100000002</v>
      </c>
      <c r="U18" s="169">
        <v>134.976</v>
      </c>
      <c r="V18" s="169">
        <v>229.607</v>
      </c>
      <c r="W18" s="170">
        <v>-0.41214335800000002</v>
      </c>
      <c r="X18" s="169">
        <v>891.91399999999999</v>
      </c>
      <c r="Y18" s="170">
        <v>-0.38318917790000001</v>
      </c>
      <c r="Z18" s="169">
        <v>499.44299999999998</v>
      </c>
      <c r="AA18" s="169">
        <v>711.08699999999999</v>
      </c>
      <c r="AB18" s="170">
        <v>-0.29763446669999999</v>
      </c>
      <c r="AC18" s="169">
        <v>999.577</v>
      </c>
      <c r="AD18" s="169">
        <v>1495.22</v>
      </c>
      <c r="AE18" s="170">
        <v>-0.33148499889999999</v>
      </c>
      <c r="AF18" s="169">
        <v>6471.8860000000004</v>
      </c>
      <c r="AG18" s="170">
        <v>-0.26750097420000002</v>
      </c>
    </row>
    <row r="19" spans="1:33">
      <c r="A19" s="133" t="s">
        <v>23</v>
      </c>
      <c r="B19" s="169">
        <v>0</v>
      </c>
      <c r="C19" s="169">
        <v>0</v>
      </c>
      <c r="D19" s="170">
        <v>0</v>
      </c>
      <c r="E19" s="169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69">
        <v>0</v>
      </c>
      <c r="L19" s="170">
        <v>0</v>
      </c>
      <c r="M19" s="169">
        <v>0</v>
      </c>
      <c r="N19" s="169">
        <v>0</v>
      </c>
      <c r="O19" s="170">
        <v>0</v>
      </c>
      <c r="P19" s="169">
        <v>0</v>
      </c>
      <c r="Q19" s="170">
        <v>0</v>
      </c>
      <c r="R19" s="169">
        <v>3739.7489999999998</v>
      </c>
      <c r="S19" s="169">
        <v>3001.5830000000001</v>
      </c>
      <c r="T19" s="170">
        <v>0.24592556660000001</v>
      </c>
      <c r="U19" s="169">
        <v>7676.7669999999998</v>
      </c>
      <c r="V19" s="169">
        <v>6049.7349999999997</v>
      </c>
      <c r="W19" s="170">
        <v>0.26894268919999997</v>
      </c>
      <c r="X19" s="169">
        <v>40036.381999999998</v>
      </c>
      <c r="Y19" s="170">
        <v>0.54313282190000001</v>
      </c>
      <c r="Z19" s="169">
        <v>0</v>
      </c>
      <c r="AA19" s="169">
        <v>0</v>
      </c>
      <c r="AB19" s="170">
        <v>0</v>
      </c>
      <c r="AC19" s="169">
        <v>0</v>
      </c>
      <c r="AD19" s="169">
        <v>0</v>
      </c>
      <c r="AE19" s="170">
        <v>0</v>
      </c>
      <c r="AF19" s="169">
        <v>0</v>
      </c>
      <c r="AG19" s="170">
        <v>0</v>
      </c>
    </row>
    <row r="20" spans="1:33">
      <c r="A20" s="133" t="s">
        <v>54</v>
      </c>
      <c r="B20" s="169">
        <v>0</v>
      </c>
      <c r="C20" s="169">
        <v>0</v>
      </c>
      <c r="D20" s="170">
        <v>0</v>
      </c>
      <c r="E20" s="169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325.40249999999997</v>
      </c>
      <c r="K20" s="169">
        <v>444.8725</v>
      </c>
      <c r="L20" s="170">
        <v>-0.2685488539</v>
      </c>
      <c r="M20" s="169">
        <v>950.51499999999999</v>
      </c>
      <c r="N20" s="169">
        <v>908.63549999999998</v>
      </c>
      <c r="O20" s="170">
        <v>4.6090539100000001E-2</v>
      </c>
      <c r="P20" s="169">
        <v>5455.6544999999996</v>
      </c>
      <c r="Q20" s="170">
        <v>-3.5157097999999998E-2</v>
      </c>
      <c r="R20" s="169">
        <v>5608.5469999999996</v>
      </c>
      <c r="S20" s="169">
        <v>9829.8860000000004</v>
      </c>
      <c r="T20" s="170">
        <v>-0.42943926310000002</v>
      </c>
      <c r="U20" s="169">
        <v>16093.582</v>
      </c>
      <c r="V20" s="169">
        <v>17191.710500000001</v>
      </c>
      <c r="W20" s="170">
        <v>-6.3875464899999998E-2</v>
      </c>
      <c r="X20" s="169">
        <v>132036.36550000001</v>
      </c>
      <c r="Y20" s="170">
        <v>-2.1520904E-2</v>
      </c>
      <c r="Z20" s="169">
        <v>0</v>
      </c>
      <c r="AA20" s="169">
        <v>0</v>
      </c>
      <c r="AB20" s="170">
        <v>0</v>
      </c>
      <c r="AC20" s="169">
        <v>0</v>
      </c>
      <c r="AD20" s="169">
        <v>0</v>
      </c>
      <c r="AE20" s="170">
        <v>0</v>
      </c>
      <c r="AF20" s="169">
        <v>0</v>
      </c>
      <c r="AG20" s="170">
        <v>0</v>
      </c>
    </row>
    <row r="21" spans="1:33">
      <c r="A21" s="133" t="s">
        <v>55</v>
      </c>
      <c r="B21" s="169">
        <v>0</v>
      </c>
      <c r="C21" s="169">
        <v>0</v>
      </c>
      <c r="D21" s="170">
        <v>0</v>
      </c>
      <c r="E21" s="169">
        <v>0</v>
      </c>
      <c r="F21" s="169">
        <v>0</v>
      </c>
      <c r="G21" s="170">
        <v>0</v>
      </c>
      <c r="H21" s="169">
        <v>0</v>
      </c>
      <c r="I21" s="170">
        <v>0</v>
      </c>
      <c r="J21" s="169">
        <v>325.40249999999997</v>
      </c>
      <c r="K21" s="169">
        <v>444.8725</v>
      </c>
      <c r="L21" s="170">
        <v>-0.2685488539</v>
      </c>
      <c r="M21" s="169">
        <v>950.51499999999999</v>
      </c>
      <c r="N21" s="169">
        <v>908.63549999999998</v>
      </c>
      <c r="O21" s="170">
        <v>4.6090539100000001E-2</v>
      </c>
      <c r="P21" s="169">
        <v>5455.6544999999996</v>
      </c>
      <c r="Q21" s="170">
        <v>-3.5157097999999998E-2</v>
      </c>
      <c r="R21" s="169">
        <v>5608.5469999999996</v>
      </c>
      <c r="S21" s="169">
        <v>9829.8860000000004</v>
      </c>
      <c r="T21" s="170">
        <v>-0.42943926310000002</v>
      </c>
      <c r="U21" s="169">
        <v>16093.582</v>
      </c>
      <c r="V21" s="169">
        <v>17191.710500000001</v>
      </c>
      <c r="W21" s="170">
        <v>-6.3875464899999998E-2</v>
      </c>
      <c r="X21" s="169">
        <v>132036.36550000001</v>
      </c>
      <c r="Y21" s="170">
        <v>-2.1520904E-2</v>
      </c>
      <c r="Z21" s="169">
        <v>0</v>
      </c>
      <c r="AA21" s="169">
        <v>0</v>
      </c>
      <c r="AB21" s="170">
        <v>0</v>
      </c>
      <c r="AC21" s="169">
        <v>0</v>
      </c>
      <c r="AD21" s="169">
        <v>0</v>
      </c>
      <c r="AE21" s="170">
        <v>0</v>
      </c>
      <c r="AF21" s="169">
        <v>0</v>
      </c>
      <c r="AG21" s="170">
        <v>0</v>
      </c>
    </row>
    <row r="22" spans="1:33">
      <c r="A22" s="137" t="s">
        <v>2</v>
      </c>
      <c r="B22" s="171">
        <v>14650.563</v>
      </c>
      <c r="C22" s="171">
        <v>15700.243</v>
      </c>
      <c r="D22" s="172">
        <v>-6.68575639E-2</v>
      </c>
      <c r="E22" s="171">
        <v>30584.797999999999</v>
      </c>
      <c r="F22" s="171">
        <v>32342.474999999999</v>
      </c>
      <c r="G22" s="172">
        <v>-5.4345778999999997E-2</v>
      </c>
      <c r="H22" s="171">
        <v>184771.45499999999</v>
      </c>
      <c r="I22" s="172">
        <v>-5.3418594799999997E-2</v>
      </c>
      <c r="J22" s="171">
        <v>15031.636</v>
      </c>
      <c r="K22" s="171">
        <v>14900.671</v>
      </c>
      <c r="L22" s="172">
        <v>8.7892014999999997E-3</v>
      </c>
      <c r="M22" s="171">
        <v>31581.157999999999</v>
      </c>
      <c r="N22" s="171">
        <v>31158.947</v>
      </c>
      <c r="O22" s="172">
        <v>1.3550233300000001E-2</v>
      </c>
      <c r="P22" s="171">
        <v>202456.64600000001</v>
      </c>
      <c r="Q22" s="172">
        <v>3.4745506099999997E-2</v>
      </c>
      <c r="R22" s="171">
        <v>291438.18699999998</v>
      </c>
      <c r="S22" s="171">
        <v>342611.62199999997</v>
      </c>
      <c r="T22" s="172">
        <v>-0.1493628112</v>
      </c>
      <c r="U22" s="171">
        <v>613974.19499999995</v>
      </c>
      <c r="V22" s="171">
        <v>669242.13199999998</v>
      </c>
      <c r="W22" s="172">
        <v>-8.2582871500000002E-2</v>
      </c>
      <c r="X22" s="171">
        <v>4517428.6770000001</v>
      </c>
      <c r="Y22" s="172">
        <v>-0.148423839</v>
      </c>
      <c r="Z22" s="171">
        <v>690937.50300000003</v>
      </c>
      <c r="AA22" s="171">
        <v>650392.98300000001</v>
      </c>
      <c r="AB22" s="172">
        <v>6.2338495399999999E-2</v>
      </c>
      <c r="AC22" s="171">
        <v>1431813.0630000001</v>
      </c>
      <c r="AD22" s="171">
        <v>1369813.6429999999</v>
      </c>
      <c r="AE22" s="172">
        <v>4.5261207800000001E-2</v>
      </c>
      <c r="AF22" s="171">
        <v>8812287.0730000008</v>
      </c>
      <c r="AG22" s="172">
        <v>3.1517491199999997E-2</v>
      </c>
    </row>
    <row r="23" spans="1:33">
      <c r="A23" s="133" t="s">
        <v>21</v>
      </c>
      <c r="B23" s="169">
        <v>0</v>
      </c>
      <c r="C23" s="169">
        <v>0</v>
      </c>
      <c r="D23" s="170">
        <v>0</v>
      </c>
      <c r="E23" s="169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69">
        <v>0</v>
      </c>
      <c r="L23" s="170">
        <v>0</v>
      </c>
      <c r="M23" s="169">
        <v>0</v>
      </c>
      <c r="N23" s="169">
        <v>0</v>
      </c>
      <c r="O23" s="170">
        <v>0</v>
      </c>
      <c r="P23" s="169">
        <v>0</v>
      </c>
      <c r="Q23" s="170">
        <v>0</v>
      </c>
      <c r="R23" s="169">
        <v>114744.08199999999</v>
      </c>
      <c r="S23" s="169">
        <v>89734.262000000002</v>
      </c>
      <c r="T23" s="170">
        <v>0.27870981989999999</v>
      </c>
      <c r="U23" s="169">
        <v>237504.356</v>
      </c>
      <c r="V23" s="169">
        <v>213684.39300000001</v>
      </c>
      <c r="W23" s="170">
        <v>0.11147263809999999</v>
      </c>
      <c r="X23" s="169">
        <v>1449911.9909999999</v>
      </c>
      <c r="Y23" s="170">
        <v>0.91342793879999995</v>
      </c>
      <c r="Z23" s="169">
        <v>0</v>
      </c>
      <c r="AA23" s="169">
        <v>0</v>
      </c>
      <c r="AB23" s="170">
        <v>0</v>
      </c>
      <c r="AC23" s="169">
        <v>0</v>
      </c>
      <c r="AD23" s="169">
        <v>0</v>
      </c>
      <c r="AE23" s="170">
        <v>0</v>
      </c>
      <c r="AF23" s="169">
        <v>0</v>
      </c>
      <c r="AG23" s="170">
        <v>0</v>
      </c>
    </row>
    <row r="24" spans="1:33">
      <c r="A24" s="137" t="s">
        <v>79</v>
      </c>
      <c r="B24" s="171">
        <v>14650.563</v>
      </c>
      <c r="C24" s="171">
        <v>15700.243</v>
      </c>
      <c r="D24" s="172">
        <v>-6.68575639E-2</v>
      </c>
      <c r="E24" s="171">
        <v>30584.797999999999</v>
      </c>
      <c r="F24" s="171">
        <v>32342.474999999999</v>
      </c>
      <c r="G24" s="172">
        <v>-5.4345778999999997E-2</v>
      </c>
      <c r="H24" s="171">
        <v>184771.45499999999</v>
      </c>
      <c r="I24" s="172">
        <v>-5.3418594799999997E-2</v>
      </c>
      <c r="J24" s="171">
        <v>15031.636</v>
      </c>
      <c r="K24" s="171">
        <v>14900.671</v>
      </c>
      <c r="L24" s="172">
        <v>8.7892014999999997E-3</v>
      </c>
      <c r="M24" s="171">
        <v>31581.157999999999</v>
      </c>
      <c r="N24" s="171">
        <v>31158.947</v>
      </c>
      <c r="O24" s="172">
        <v>1.3550233300000001E-2</v>
      </c>
      <c r="P24" s="171">
        <v>202456.64600000001</v>
      </c>
      <c r="Q24" s="172">
        <v>3.4745506099999997E-2</v>
      </c>
      <c r="R24" s="171">
        <v>406182.26899999997</v>
      </c>
      <c r="S24" s="171">
        <v>432345.88400000002</v>
      </c>
      <c r="T24" s="172">
        <v>-6.0515471500000001E-2</v>
      </c>
      <c r="U24" s="171">
        <v>851478.55099999998</v>
      </c>
      <c r="V24" s="171">
        <v>882926.52500000002</v>
      </c>
      <c r="W24" s="172">
        <v>-3.5617883400000001E-2</v>
      </c>
      <c r="X24" s="171">
        <v>5967340.6679999996</v>
      </c>
      <c r="Y24" s="172">
        <v>-1.5703127099999999E-2</v>
      </c>
      <c r="Z24" s="171">
        <v>690937.50300000003</v>
      </c>
      <c r="AA24" s="171">
        <v>650392.98300000001</v>
      </c>
      <c r="AB24" s="172">
        <v>6.2338495399999999E-2</v>
      </c>
      <c r="AC24" s="171">
        <v>1431813.0630000001</v>
      </c>
      <c r="AD24" s="171">
        <v>1369813.6429999999</v>
      </c>
      <c r="AE24" s="172">
        <v>4.5261207800000001E-2</v>
      </c>
      <c r="AF24" s="171">
        <v>8812287.0730000008</v>
      </c>
      <c r="AG24" s="172">
        <v>3.1517491199999997E-2</v>
      </c>
    </row>
    <row r="25" spans="1:33">
      <c r="R25" s="162">
        <f>SUM(R10,R14)</f>
        <v>4823.5140000000001</v>
      </c>
      <c r="S25" s="162">
        <f>SUM(S10,S14)</f>
        <v>15008.727000000001</v>
      </c>
      <c r="T25" s="163">
        <f>((R25/S25)-1)*100</f>
        <v>-67.861937924515516</v>
      </c>
    </row>
    <row r="26" spans="1:33">
      <c r="A26" s="102" t="s">
        <v>103</v>
      </c>
      <c r="B26" s="162">
        <f>SUM(B24,J24,R24,Z24)</f>
        <v>1126801.9709999999</v>
      </c>
      <c r="C26" s="162">
        <f>SUM(C24,K24,S24,AA24)</f>
        <v>1113339.781</v>
      </c>
      <c r="D26" s="163">
        <f>((B26/C26)-1)*100</f>
        <v>1.2091717398176716</v>
      </c>
      <c r="R26" s="179">
        <f>R23/R24</f>
        <v>0.28249406918350739</v>
      </c>
      <c r="S26" s="179">
        <f>S23/S24</f>
        <v>0.20755202101102921</v>
      </c>
      <c r="Z26" s="163"/>
    </row>
    <row r="29" spans="1:33" ht="15">
      <c r="A29" s="134" t="s">
        <v>67</v>
      </c>
      <c r="B29" s="199" t="str">
        <f>A2</f>
        <v>Febrero 2024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6"/>
      <c r="C33" s="176">
        <v>1.52</v>
      </c>
    </row>
    <row r="34" spans="1:4">
      <c r="A34" s="133" t="s">
        <v>11</v>
      </c>
      <c r="B34" s="176">
        <v>241.2</v>
      </c>
      <c r="C34" s="176"/>
    </row>
    <row r="35" spans="1:4">
      <c r="A35" s="133" t="s">
        <v>78</v>
      </c>
      <c r="B35" s="176">
        <v>139.4</v>
      </c>
      <c r="C35" s="176">
        <v>487.64</v>
      </c>
    </row>
    <row r="36" spans="1:4">
      <c r="A36" s="133" t="s">
        <v>9</v>
      </c>
      <c r="B36" s="176">
        <v>603.1</v>
      </c>
      <c r="C36" s="176">
        <v>520.75</v>
      </c>
    </row>
    <row r="37" spans="1:4">
      <c r="A37" s="133" t="s">
        <v>8</v>
      </c>
      <c r="B37" s="176"/>
      <c r="C37" s="176">
        <v>482.64</v>
      </c>
    </row>
    <row r="38" spans="1:4">
      <c r="A38" s="133" t="s">
        <v>25</v>
      </c>
      <c r="B38" s="176">
        <v>822.9</v>
      </c>
      <c r="C38" s="176">
        <v>865.4</v>
      </c>
    </row>
    <row r="39" spans="1:4">
      <c r="A39" s="133" t="s">
        <v>24</v>
      </c>
      <c r="B39" s="176"/>
      <c r="C39" s="176"/>
    </row>
    <row r="40" spans="1:4">
      <c r="A40" s="133" t="s">
        <v>6</v>
      </c>
      <c r="B40" s="176"/>
      <c r="C40" s="176">
        <v>11.32</v>
      </c>
    </row>
    <row r="41" spans="1:4">
      <c r="A41" s="133" t="s">
        <v>5</v>
      </c>
      <c r="B41" s="176">
        <v>3.5674999999999999</v>
      </c>
      <c r="C41" s="176">
        <v>644.70000000000005</v>
      </c>
      <c r="D41" s="167"/>
    </row>
    <row r="42" spans="1:4">
      <c r="A42" s="133" t="s">
        <v>4</v>
      </c>
      <c r="B42" s="176">
        <v>333.10939500000001</v>
      </c>
      <c r="C42" s="176">
        <v>234.399945</v>
      </c>
      <c r="D42" s="167"/>
    </row>
    <row r="43" spans="1:4">
      <c r="A43" s="133" t="s">
        <v>22</v>
      </c>
      <c r="B43" s="176">
        <v>2.13</v>
      </c>
      <c r="C43" s="176">
        <v>7.4359999999999999</v>
      </c>
    </row>
    <row r="44" spans="1:4">
      <c r="A44" s="133" t="s">
        <v>23</v>
      </c>
      <c r="B44" s="176">
        <v>11.523</v>
      </c>
      <c r="C44" s="176">
        <v>38.200000000000003</v>
      </c>
    </row>
    <row r="45" spans="1:4">
      <c r="A45" s="133" t="s">
        <v>54</v>
      </c>
      <c r="B45" s="176">
        <v>37.4</v>
      </c>
      <c r="C45" s="176"/>
    </row>
    <row r="46" spans="1:4">
      <c r="A46" s="133" t="s">
        <v>55</v>
      </c>
      <c r="B46" s="176">
        <v>37.4</v>
      </c>
      <c r="C46" s="176"/>
    </row>
    <row r="47" spans="1:4">
      <c r="A47" s="137" t="s">
        <v>2</v>
      </c>
      <c r="B47" s="177">
        <f>SUM(B33:B46)</f>
        <v>2231.7298950000004</v>
      </c>
      <c r="C47" s="177">
        <f>SUM(C33:C46)</f>
        <v>3294.0059450000003</v>
      </c>
    </row>
    <row r="48" spans="1:4" ht="15">
      <c r="A48"/>
      <c r="B48" s="168"/>
      <c r="C48" s="178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10.80775951159627</v>
      </c>
      <c r="D52" s="165"/>
      <c r="F52" s="105" t="s">
        <v>10</v>
      </c>
      <c r="G52" s="106">
        <f>C35</f>
        <v>487.64</v>
      </c>
      <c r="H52" s="107">
        <f>G52/$G$62*100</f>
        <v>14.803859135111546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6.2462756049606973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15.809018219607371</v>
      </c>
    </row>
    <row r="54" spans="1:8">
      <c r="A54" s="105" t="s">
        <v>9</v>
      </c>
      <c r="B54" s="106">
        <f t="shared" si="1"/>
        <v>603.1</v>
      </c>
      <c r="C54" s="107">
        <f t="shared" si="0"/>
        <v>27.02387960797558</v>
      </c>
      <c r="D54" s="165"/>
      <c r="F54" s="105" t="s">
        <v>8</v>
      </c>
      <c r="G54" s="106">
        <f>C37</f>
        <v>482.64</v>
      </c>
      <c r="H54" s="107">
        <f t="shared" si="2"/>
        <v>14.652068273665483</v>
      </c>
    </row>
    <row r="55" spans="1:8">
      <c r="A55" s="105" t="s">
        <v>25</v>
      </c>
      <c r="B55" s="106">
        <f>B38</f>
        <v>822.9</v>
      </c>
      <c r="C55" s="107">
        <f t="shared" si="0"/>
        <v>36.872741716801706</v>
      </c>
      <c r="D55" s="165"/>
      <c r="F55" s="105" t="s">
        <v>25</v>
      </c>
      <c r="G55" s="106">
        <f>C38</f>
        <v>865.4</v>
      </c>
      <c r="H55" s="107">
        <f t="shared" si="2"/>
        <v>26.271962299084432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1.1596821814479148</v>
      </c>
    </row>
    <row r="57" spans="1:8">
      <c r="A57" s="105" t="s">
        <v>23</v>
      </c>
      <c r="B57" s="106">
        <f>B44</f>
        <v>11.523</v>
      </c>
      <c r="C57" s="107">
        <f t="shared" si="0"/>
        <v>0.51632592393086163</v>
      </c>
      <c r="D57" s="165"/>
      <c r="F57" s="105" t="s">
        <v>12</v>
      </c>
      <c r="G57" s="107">
        <f>C33</f>
        <v>1.52</v>
      </c>
      <c r="H57" s="107">
        <f t="shared" si="2"/>
        <v>4.6144421879602888E-2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1.6758300403553088</v>
      </c>
      <c r="D58" s="165"/>
      <c r="F58" s="105" t="s">
        <v>6</v>
      </c>
      <c r="G58" s="106">
        <f>C40</f>
        <v>11.32</v>
      </c>
      <c r="H58" s="107">
        <f t="shared" si="2"/>
        <v>0.34365451031388466</v>
      </c>
    </row>
    <row r="59" spans="1:8">
      <c r="A59" s="105" t="s">
        <v>54</v>
      </c>
      <c r="B59" s="106">
        <f>B45</f>
        <v>37.4</v>
      </c>
      <c r="C59" s="107">
        <f t="shared" si="3"/>
        <v>1.6758300403553088</v>
      </c>
      <c r="D59" s="165"/>
      <c r="F59" s="105" t="s">
        <v>5</v>
      </c>
      <c r="G59" s="106">
        <f>C41</f>
        <v>644.70000000000005</v>
      </c>
      <c r="H59" s="107">
        <f t="shared" si="2"/>
        <v>19.571913674855253</v>
      </c>
    </row>
    <row r="60" spans="1:8">
      <c r="A60" s="105" t="s">
        <v>5</v>
      </c>
      <c r="B60" s="106">
        <f>B41</f>
        <v>3.5674999999999999</v>
      </c>
      <c r="C60" s="107">
        <f t="shared" si="3"/>
        <v>0.15985357403656589</v>
      </c>
      <c r="D60" s="165"/>
      <c r="F60" s="105" t="s">
        <v>4</v>
      </c>
      <c r="G60" s="106">
        <f>C42</f>
        <v>234.399945</v>
      </c>
      <c r="H60" s="107">
        <f t="shared" si="2"/>
        <v>7.1159539148919162</v>
      </c>
    </row>
    <row r="61" spans="1:8">
      <c r="A61" s="105" t="s">
        <v>4</v>
      </c>
      <c r="B61" s="106">
        <f>B42</f>
        <v>333.10939500000001</v>
      </c>
      <c r="C61" s="107">
        <f t="shared" si="3"/>
        <v>14.926062322609161</v>
      </c>
      <c r="D61" s="165"/>
      <c r="F61" s="105" t="s">
        <v>22</v>
      </c>
      <c r="G61" s="106">
        <f>C43</f>
        <v>7.4359999999999999</v>
      </c>
      <c r="H61" s="107">
        <f t="shared" si="2"/>
        <v>0.22574336914258358</v>
      </c>
    </row>
    <row r="62" spans="1:8">
      <c r="A62" s="105" t="s">
        <v>22</v>
      </c>
      <c r="B62" s="106">
        <f>B43</f>
        <v>2.13</v>
      </c>
      <c r="C62" s="107">
        <f t="shared" si="3"/>
        <v>9.5441657378524281E-2</v>
      </c>
      <c r="D62" s="165"/>
      <c r="F62" s="108" t="s">
        <v>20</v>
      </c>
      <c r="G62" s="109">
        <f>SUM(G52:G61)</f>
        <v>3294.0059450000003</v>
      </c>
      <c r="H62" s="110">
        <f>SUM(H52:H61)</f>
        <v>99.999999999999986</v>
      </c>
    </row>
    <row r="63" spans="1:8">
      <c r="A63" s="108" t="s">
        <v>20</v>
      </c>
      <c r="B63" s="109">
        <f>SUM(B52:B62)</f>
        <v>2231.7298950000004</v>
      </c>
      <c r="C63" s="110">
        <f>SUM(C52:C62)</f>
        <v>99.999999999999972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80">
        <f>(C68/SUM($C$68:$C$78))*100</f>
        <v>0</v>
      </c>
      <c r="F68" s="105" t="s">
        <v>10</v>
      </c>
      <c r="G68" s="107">
        <f>SUM(Z10,Z14)/Z$24*100</f>
        <v>21.366839599673604</v>
      </c>
    </row>
    <row r="69" spans="1:7">
      <c r="A69" s="105" t="s">
        <v>10</v>
      </c>
      <c r="B69" s="107">
        <f t="shared" ref="B69:B78" si="4">C69/$C$80*100</f>
        <v>1.1855899992545318</v>
      </c>
      <c r="C69" s="106">
        <f>R10</f>
        <v>4823.5140000000001</v>
      </c>
      <c r="D69" s="180">
        <f t="shared" ref="D69:D78" si="5">(C69/SUM($C$68:$C$78))*100</f>
        <v>1.6513174697012023</v>
      </c>
      <c r="F69" s="105" t="s">
        <v>9</v>
      </c>
      <c r="G69" s="107">
        <f>Z11/Z$24*100</f>
        <v>3.3724338162029106</v>
      </c>
    </row>
    <row r="70" spans="1:7">
      <c r="A70" s="105" t="s">
        <v>9</v>
      </c>
      <c r="B70" s="107">
        <f t="shared" si="4"/>
        <v>5.8494663045300896</v>
      </c>
      <c r="C70" s="106">
        <f>R11</f>
        <v>23798.262999999999</v>
      </c>
      <c r="D70" s="180">
        <f t="shared" si="5"/>
        <v>8.1472734277217285</v>
      </c>
      <c r="F70" s="105" t="s">
        <v>8</v>
      </c>
      <c r="G70" s="107">
        <f>Z12/Z$24*100</f>
        <v>14.500143871912535</v>
      </c>
    </row>
    <row r="71" spans="1:7">
      <c r="A71" s="105" t="s">
        <v>25</v>
      </c>
      <c r="B71" s="107">
        <f t="shared" si="4"/>
        <v>53.703829308904595</v>
      </c>
      <c r="C71" s="106">
        <f>R13</f>
        <v>218491.361</v>
      </c>
      <c r="D71" s="180">
        <f>(C71/SUM($C$68:$C$78))*100</f>
        <v>74.799949040905034</v>
      </c>
      <c r="F71" s="105" t="s">
        <v>25</v>
      </c>
      <c r="G71" s="107">
        <f>Z13/Z$24*100</f>
        <v>40.95257946940535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81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0.91920724478505422</v>
      </c>
      <c r="C73" s="106">
        <f>R19</f>
        <v>3739.7489999999998</v>
      </c>
      <c r="D73" s="180">
        <f t="shared" si="5"/>
        <v>1.2802933413270081</v>
      </c>
      <c r="F73" s="105" t="s">
        <v>12</v>
      </c>
      <c r="G73" s="107">
        <f>Z8/Z$24*100</f>
        <v>4.1260316419674793E-2</v>
      </c>
    </row>
    <row r="74" spans="1:7">
      <c r="A74" s="105" t="s">
        <v>55</v>
      </c>
      <c r="B74" s="107">
        <f t="shared" si="4"/>
        <v>1.3785462701153157</v>
      </c>
      <c r="C74" s="106">
        <f>R21</f>
        <v>5608.5469999999996</v>
      </c>
      <c r="D74" s="180">
        <f t="shared" si="5"/>
        <v>1.920071475015988</v>
      </c>
      <c r="F74" s="105" t="s">
        <v>6</v>
      </c>
      <c r="G74" s="107">
        <f>Z15/Z$24*100</f>
        <v>0.20474775125934944</v>
      </c>
    </row>
    <row r="75" spans="1:7">
      <c r="A75" s="105" t="s">
        <v>54</v>
      </c>
      <c r="B75" s="107">
        <f t="shared" si="4"/>
        <v>1.3785462701153157</v>
      </c>
      <c r="C75" s="106">
        <f>R20</f>
        <v>5608.5469999999996</v>
      </c>
      <c r="D75" s="180">
        <f t="shared" si="5"/>
        <v>1.920071475015988</v>
      </c>
      <c r="F75" s="105" t="s">
        <v>5</v>
      </c>
      <c r="G75" s="107">
        <f>Z16/Z$24*100</f>
        <v>15.711748534223071</v>
      </c>
    </row>
    <row r="76" spans="1:7">
      <c r="A76" s="105" t="s">
        <v>5</v>
      </c>
      <c r="B76" s="107">
        <f t="shared" si="4"/>
        <v>0</v>
      </c>
      <c r="C76" s="106">
        <f>R16</f>
        <v>0</v>
      </c>
      <c r="D76" s="180">
        <f t="shared" si="5"/>
        <v>0</v>
      </c>
      <c r="F76" s="105" t="s">
        <v>4</v>
      </c>
      <c r="G76" s="107">
        <f>Z17/Z$24*100</f>
        <v>3.7779618108238653</v>
      </c>
    </row>
    <row r="77" spans="1:7">
      <c r="A77" s="105" t="s">
        <v>4</v>
      </c>
      <c r="B77" s="107">
        <f t="shared" si="4"/>
        <v>7.3737555369085976</v>
      </c>
      <c r="C77" s="106">
        <f>R17</f>
        <v>29999.758000000002</v>
      </c>
      <c r="D77" s="180">
        <f t="shared" si="5"/>
        <v>10.270339108004746</v>
      </c>
      <c r="F77" s="105" t="s">
        <v>22</v>
      </c>
      <c r="G77" s="107">
        <f>Z18/Z$24*100</f>
        <v>7.2284830079631671E-2</v>
      </c>
    </row>
    <row r="78" spans="1:7">
      <c r="A78" s="105" t="s">
        <v>22</v>
      </c>
      <c r="B78" s="107">
        <f t="shared" si="4"/>
        <v>7.6712255581167458E-3</v>
      </c>
      <c r="C78" s="106">
        <f>R18</f>
        <v>31.21</v>
      </c>
      <c r="D78" s="180">
        <f t="shared" si="5"/>
        <v>1.0684662308303557E-2</v>
      </c>
      <c r="F78" s="108" t="s">
        <v>20</v>
      </c>
      <c r="G78" s="110">
        <f>SUM(G68:G77)</f>
        <v>100.00000000000001</v>
      </c>
    </row>
    <row r="79" spans="1:7">
      <c r="A79" s="105" t="s">
        <v>21</v>
      </c>
      <c r="B79" s="107">
        <f>C79/$C$80*100</f>
        <v>28.203387839828377</v>
      </c>
      <c r="C79" s="106">
        <f>R23</f>
        <v>114744.08199999999</v>
      </c>
      <c r="D79" s="181"/>
    </row>
    <row r="80" spans="1:7">
      <c r="A80" s="108" t="s">
        <v>20</v>
      </c>
      <c r="B80" s="110">
        <f>SUM(B68:B79)</f>
        <v>100</v>
      </c>
      <c r="C80" s="109">
        <f>SUM(C68:C79)</f>
        <v>406845.03100000002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/>
      <c r="S85"/>
      <c r="T85"/>
      <c r="U85"/>
      <c r="V85"/>
      <c r="W85"/>
      <c r="X85"/>
      <c r="Y85"/>
      <c r="Z85"/>
    </row>
    <row r="86" spans="1:26" ht="15">
      <c r="A86" s="134"/>
      <c r="B86" s="132" t="s">
        <v>67</v>
      </c>
      <c r="C86" s="182" t="s">
        <v>106</v>
      </c>
      <c r="D86" s="182" t="s">
        <v>107</v>
      </c>
      <c r="E86" s="182" t="s">
        <v>108</v>
      </c>
      <c r="F86" s="182" t="s">
        <v>109</v>
      </c>
      <c r="G86" s="182" t="s">
        <v>110</v>
      </c>
      <c r="H86" s="182" t="s">
        <v>111</v>
      </c>
      <c r="I86" s="182" t="s">
        <v>112</v>
      </c>
      <c r="J86" s="182" t="s">
        <v>113</v>
      </c>
      <c r="K86" s="182" t="s">
        <v>114</v>
      </c>
      <c r="L86" s="182" t="s">
        <v>115</v>
      </c>
      <c r="M86" s="182" t="s">
        <v>116</v>
      </c>
      <c r="N86" s="182" t="s">
        <v>117</v>
      </c>
      <c r="O86" s="182" t="s">
        <v>118</v>
      </c>
      <c r="P86" s="182" t="s">
        <v>119</v>
      </c>
      <c r="Q86" s="182" t="s">
        <v>122</v>
      </c>
      <c r="R86"/>
      <c r="S86"/>
      <c r="T86"/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/>
      <c r="S87"/>
      <c r="T87"/>
      <c r="U87"/>
      <c r="V87"/>
      <c r="W87"/>
      <c r="X87"/>
      <c r="Y87"/>
      <c r="Z87"/>
    </row>
    <row r="88" spans="1:26" ht="15">
      <c r="A88" s="210" t="s">
        <v>57</v>
      </c>
      <c r="B88" s="133" t="s">
        <v>11</v>
      </c>
      <c r="C88" s="173">
        <v>-0.72771799999999998</v>
      </c>
      <c r="D88" s="173">
        <v>-0.70697299999999996</v>
      </c>
      <c r="E88" s="173">
        <v>-0.51834000000000002</v>
      </c>
      <c r="F88" s="173">
        <v>-0.60865999999999998</v>
      </c>
      <c r="G88" s="173">
        <v>-0.83296899999999996</v>
      </c>
      <c r="H88" s="173">
        <v>3.1799559999999998</v>
      </c>
      <c r="I88" s="173">
        <v>54.925434000000003</v>
      </c>
      <c r="J88" s="173">
        <v>9.0232189999999992</v>
      </c>
      <c r="K88" s="173">
        <v>-0.82337800000000005</v>
      </c>
      <c r="L88" s="173">
        <v>-0.82724900000000001</v>
      </c>
      <c r="M88" s="173">
        <v>-0.89542500000000003</v>
      </c>
      <c r="N88" s="173">
        <v>-0.69586499999999996</v>
      </c>
      <c r="O88" s="173">
        <v>-0.70605399999999996</v>
      </c>
      <c r="P88" s="173">
        <v>-0.66276199999999996</v>
      </c>
      <c r="Q88" s="173">
        <v>0</v>
      </c>
      <c r="R88"/>
      <c r="S88"/>
      <c r="T88"/>
      <c r="U88"/>
      <c r="V88"/>
      <c r="W88"/>
      <c r="X88"/>
      <c r="Y88"/>
      <c r="Z88"/>
    </row>
    <row r="89" spans="1:26" ht="15">
      <c r="A89" s="211"/>
      <c r="B89" s="133" t="s">
        <v>78</v>
      </c>
      <c r="C89" s="173">
        <v>5.0179289999999996</v>
      </c>
      <c r="D89" s="173">
        <v>15.008727</v>
      </c>
      <c r="E89" s="173">
        <v>6.2192920000000003</v>
      </c>
      <c r="F89" s="173">
        <v>7.134449</v>
      </c>
      <c r="G89" s="173">
        <v>12.70701</v>
      </c>
      <c r="H89" s="173">
        <v>20.755147999999998</v>
      </c>
      <c r="I89" s="173">
        <v>57.618448999999998</v>
      </c>
      <c r="J89" s="173">
        <v>64.924531000000002</v>
      </c>
      <c r="K89" s="173">
        <v>32.782569000000002</v>
      </c>
      <c r="L89" s="173">
        <v>16.979832999999999</v>
      </c>
      <c r="M89" s="173">
        <v>5.9974980000000002</v>
      </c>
      <c r="N89" s="173">
        <v>5.6586610000000004</v>
      </c>
      <c r="O89" s="173">
        <v>5.2892989999999998</v>
      </c>
      <c r="P89" s="173">
        <v>4.8235140000000003</v>
      </c>
      <c r="Q89" s="173">
        <v>1.500278</v>
      </c>
      <c r="R89"/>
      <c r="S89"/>
      <c r="T89"/>
      <c r="U89"/>
      <c r="V89"/>
      <c r="W89"/>
      <c r="X89"/>
      <c r="Y89"/>
      <c r="Z89"/>
    </row>
    <row r="90" spans="1:26" ht="15">
      <c r="A90" s="211"/>
      <c r="B90" s="133" t="s">
        <v>9</v>
      </c>
      <c r="C90" s="173">
        <v>49.385100000000001</v>
      </c>
      <c r="D90" s="173">
        <v>32.328426999999998</v>
      </c>
      <c r="E90" s="173">
        <v>34.532919999999997</v>
      </c>
      <c r="F90" s="173">
        <v>29.44258</v>
      </c>
      <c r="G90" s="173">
        <v>35.218071999999999</v>
      </c>
      <c r="H90" s="173">
        <v>56.449230999999997</v>
      </c>
      <c r="I90" s="173">
        <v>67.064257999999995</v>
      </c>
      <c r="J90" s="173">
        <v>53.415241999999999</v>
      </c>
      <c r="K90" s="173">
        <v>49.271726999999998</v>
      </c>
      <c r="L90" s="173">
        <v>44.274278000000002</v>
      </c>
      <c r="M90" s="173">
        <v>24.187601999999998</v>
      </c>
      <c r="N90" s="173">
        <v>22.604486999999999</v>
      </c>
      <c r="O90" s="173">
        <v>25.154277</v>
      </c>
      <c r="P90" s="173">
        <v>23.798262999999999</v>
      </c>
      <c r="Q90" s="173">
        <v>8.4754880000000004</v>
      </c>
      <c r="R90"/>
      <c r="S90"/>
      <c r="T90"/>
      <c r="U90"/>
      <c r="V90"/>
      <c r="W90"/>
      <c r="X90"/>
      <c r="Y90"/>
      <c r="Z90"/>
    </row>
    <row r="91" spans="1:26" ht="15">
      <c r="A91" s="211"/>
      <c r="B91" s="133" t="s">
        <v>25</v>
      </c>
      <c r="C91" s="173">
        <v>236.33414099999999</v>
      </c>
      <c r="D91" s="173">
        <v>250.50749099999999</v>
      </c>
      <c r="E91" s="173">
        <v>233.28242</v>
      </c>
      <c r="F91" s="173">
        <v>207.738203</v>
      </c>
      <c r="G91" s="173">
        <v>231.47546199999999</v>
      </c>
      <c r="H91" s="173">
        <v>269.55010299999998</v>
      </c>
      <c r="I91" s="173">
        <v>316.35504600000002</v>
      </c>
      <c r="J91" s="173">
        <v>324.37696499999998</v>
      </c>
      <c r="K91" s="173">
        <v>296.32292799999999</v>
      </c>
      <c r="L91" s="173">
        <v>247.112684</v>
      </c>
      <c r="M91" s="173">
        <v>224.26124200000001</v>
      </c>
      <c r="N91" s="173">
        <v>233.91494</v>
      </c>
      <c r="O91" s="173">
        <v>244.02029300000001</v>
      </c>
      <c r="P91" s="173">
        <v>218.49136100000001</v>
      </c>
      <c r="Q91" s="173">
        <v>88.250341000000006</v>
      </c>
      <c r="R91"/>
      <c r="S91"/>
      <c r="T91"/>
      <c r="U91"/>
      <c r="V91"/>
      <c r="W91"/>
      <c r="X91"/>
      <c r="Y91"/>
      <c r="Z91"/>
    </row>
    <row r="92" spans="1:26" ht="15">
      <c r="A92" s="211"/>
      <c r="B92" s="133" t="s">
        <v>24</v>
      </c>
      <c r="C92" s="173">
        <v>0</v>
      </c>
      <c r="D92" s="173"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/>
      <c r="S92"/>
      <c r="T92"/>
      <c r="U92"/>
      <c r="V92"/>
      <c r="W92"/>
      <c r="X92"/>
      <c r="Y92"/>
      <c r="Z92"/>
    </row>
    <row r="93" spans="1:26" ht="15">
      <c r="A93" s="211"/>
      <c r="B93" s="133" t="s">
        <v>5</v>
      </c>
      <c r="C93" s="173">
        <v>0.21573000000000001</v>
      </c>
      <c r="D93" s="173">
        <v>0.18323999999999999</v>
      </c>
      <c r="E93" s="173">
        <v>0.20035</v>
      </c>
      <c r="F93" s="173">
        <v>0.12734500000000001</v>
      </c>
      <c r="G93" s="173">
        <v>0.24965100000000001</v>
      </c>
      <c r="H93" s="173">
        <v>5.6180000000000001E-2</v>
      </c>
      <c r="I93" s="173">
        <v>0.118565</v>
      </c>
      <c r="J93" s="173">
        <v>9.7920999999999994E-2</v>
      </c>
      <c r="K93" s="173">
        <v>0</v>
      </c>
      <c r="L93" s="173">
        <v>1.0359999999999999E-2</v>
      </c>
      <c r="M93" s="173">
        <v>8.7279999999999996E-3</v>
      </c>
      <c r="N93" s="173">
        <v>0</v>
      </c>
      <c r="O93" s="173">
        <v>0</v>
      </c>
      <c r="P93" s="173">
        <v>0</v>
      </c>
      <c r="Q93" s="173">
        <v>0</v>
      </c>
      <c r="R93"/>
      <c r="S93"/>
      <c r="T93"/>
      <c r="U93"/>
      <c r="V93"/>
      <c r="W93"/>
      <c r="X93"/>
      <c r="Y93"/>
      <c r="Z93"/>
    </row>
    <row r="94" spans="1:26" ht="15">
      <c r="A94" s="211"/>
      <c r="B94" s="133" t="s">
        <v>4</v>
      </c>
      <c r="C94" s="173">
        <v>18.539918</v>
      </c>
      <c r="D94" s="173">
        <v>22.493357</v>
      </c>
      <c r="E94" s="173">
        <v>35.774521</v>
      </c>
      <c r="F94" s="173">
        <v>38.851148000000002</v>
      </c>
      <c r="G94" s="173">
        <v>34.004562</v>
      </c>
      <c r="H94" s="173">
        <v>36.423403999999998</v>
      </c>
      <c r="I94" s="173">
        <v>41.343387999999997</v>
      </c>
      <c r="J94" s="173">
        <v>44.372684</v>
      </c>
      <c r="K94" s="173">
        <v>34.510787000000001</v>
      </c>
      <c r="L94" s="173">
        <v>32.549160999999998</v>
      </c>
      <c r="M94" s="173">
        <v>23.864156000000001</v>
      </c>
      <c r="N94" s="173">
        <v>22.334897999999999</v>
      </c>
      <c r="O94" s="173">
        <v>23.767339</v>
      </c>
      <c r="P94" s="173">
        <v>29.999758</v>
      </c>
      <c r="Q94" s="173">
        <v>15.719586</v>
      </c>
      <c r="R94"/>
      <c r="S94"/>
      <c r="T94"/>
      <c r="U94"/>
      <c r="V94"/>
      <c r="W94"/>
      <c r="X94"/>
      <c r="Y94"/>
      <c r="Z94"/>
    </row>
    <row r="95" spans="1:26" ht="15">
      <c r="A95" s="211"/>
      <c r="B95" s="133" t="s">
        <v>22</v>
      </c>
      <c r="C95" s="173">
        <v>9.3608999999999998E-2</v>
      </c>
      <c r="D95" s="173">
        <v>0.13599800000000001</v>
      </c>
      <c r="E95" s="173">
        <v>0.11230800000000001</v>
      </c>
      <c r="F95" s="173">
        <v>7.399E-2</v>
      </c>
      <c r="G95" s="173">
        <v>9.0162999999999993E-2</v>
      </c>
      <c r="H95" s="173">
        <v>8.4139000000000005E-2</v>
      </c>
      <c r="I95" s="173">
        <v>3.7238E-2</v>
      </c>
      <c r="J95" s="173">
        <v>2.6629E-2</v>
      </c>
      <c r="K95" s="173">
        <v>3.1858999999999998E-2</v>
      </c>
      <c r="L95" s="173">
        <v>3.9587999999999998E-2</v>
      </c>
      <c r="M95" s="173">
        <v>0.134767</v>
      </c>
      <c r="N95" s="173">
        <v>0.12625700000000001</v>
      </c>
      <c r="O95" s="173">
        <v>0.103766</v>
      </c>
      <c r="P95" s="173">
        <v>3.1210000000000002E-2</v>
      </c>
      <c r="Q95" s="173">
        <v>0</v>
      </c>
      <c r="R95"/>
      <c r="S95"/>
      <c r="T95"/>
      <c r="U95"/>
      <c r="V95"/>
      <c r="W95"/>
      <c r="X95"/>
      <c r="Y95"/>
      <c r="Z95"/>
    </row>
    <row r="96" spans="1:26" ht="15">
      <c r="A96" s="211"/>
      <c r="B96" s="133" t="s">
        <v>23</v>
      </c>
      <c r="C96" s="173">
        <v>3.048152</v>
      </c>
      <c r="D96" s="173">
        <v>3.0015830000000001</v>
      </c>
      <c r="E96" s="173">
        <v>3.577315</v>
      </c>
      <c r="F96" s="173">
        <v>3.6179220000000001</v>
      </c>
      <c r="G96" s="173">
        <v>3.5173019999999999</v>
      </c>
      <c r="H96" s="173">
        <v>3.783118</v>
      </c>
      <c r="I96" s="173">
        <v>3.2446030000000001</v>
      </c>
      <c r="J96" s="173">
        <v>3.7400570000000002</v>
      </c>
      <c r="K96" s="173">
        <v>3.104663</v>
      </c>
      <c r="L96" s="173">
        <v>1.7294940000000001</v>
      </c>
      <c r="M96" s="173">
        <v>2.8349500000000001</v>
      </c>
      <c r="N96" s="173">
        <v>3.210191</v>
      </c>
      <c r="O96" s="173">
        <v>3.9370180000000001</v>
      </c>
      <c r="P96" s="173">
        <v>3.7397490000000002</v>
      </c>
      <c r="Q96" s="173">
        <v>1.461082</v>
      </c>
      <c r="R96"/>
      <c r="S96"/>
      <c r="T96"/>
      <c r="U96"/>
      <c r="V96"/>
      <c r="W96"/>
      <c r="X96"/>
      <c r="Y96"/>
      <c r="Z96"/>
    </row>
    <row r="97" spans="1:26" ht="15">
      <c r="A97" s="211"/>
      <c r="B97" s="133" t="s">
        <v>54</v>
      </c>
      <c r="C97" s="173">
        <v>7.3618245</v>
      </c>
      <c r="D97" s="173">
        <v>9.8298860000000001</v>
      </c>
      <c r="E97" s="173">
        <v>9.6378819999999994</v>
      </c>
      <c r="F97" s="173">
        <v>10.65733</v>
      </c>
      <c r="G97" s="173">
        <v>12.228600500000001</v>
      </c>
      <c r="H97" s="173">
        <v>15.5976535</v>
      </c>
      <c r="I97" s="173">
        <v>12.5411815</v>
      </c>
      <c r="J97" s="173">
        <v>14.683114</v>
      </c>
      <c r="K97" s="173">
        <v>9.9340825000000006</v>
      </c>
      <c r="L97" s="173">
        <v>10.860910000000001</v>
      </c>
      <c r="M97" s="173">
        <v>10.810193999999999</v>
      </c>
      <c r="N97" s="173">
        <v>8.9918355000000005</v>
      </c>
      <c r="O97" s="173">
        <v>10.485035</v>
      </c>
      <c r="P97" s="173">
        <v>5.6085469999999997</v>
      </c>
      <c r="Q97" s="173">
        <v>5.1795</v>
      </c>
      <c r="R97"/>
      <c r="S97"/>
      <c r="T97"/>
      <c r="U97"/>
      <c r="V97"/>
      <c r="W97"/>
      <c r="X97"/>
      <c r="Y97"/>
      <c r="Z97"/>
    </row>
    <row r="98" spans="1:26" ht="15">
      <c r="A98" s="211"/>
      <c r="B98" s="133" t="s">
        <v>55</v>
      </c>
      <c r="C98" s="173">
        <v>7.3618245</v>
      </c>
      <c r="D98" s="173">
        <v>9.8298860000000001</v>
      </c>
      <c r="E98" s="173">
        <v>9.6378819999999994</v>
      </c>
      <c r="F98" s="173">
        <v>10.65733</v>
      </c>
      <c r="G98" s="173">
        <v>12.228600500000001</v>
      </c>
      <c r="H98" s="173">
        <v>15.5976535</v>
      </c>
      <c r="I98" s="173">
        <v>12.5411815</v>
      </c>
      <c r="J98" s="173">
        <v>14.683114</v>
      </c>
      <c r="K98" s="173">
        <v>9.9340825000000006</v>
      </c>
      <c r="L98" s="173">
        <v>10.860910000000001</v>
      </c>
      <c r="M98" s="173">
        <v>10.810193999999999</v>
      </c>
      <c r="N98" s="173">
        <v>8.9918355000000005</v>
      </c>
      <c r="O98" s="173">
        <v>10.485035</v>
      </c>
      <c r="P98" s="173">
        <v>5.6085469999999997</v>
      </c>
      <c r="Q98" s="173">
        <v>5.1795</v>
      </c>
      <c r="R98"/>
      <c r="S98"/>
      <c r="T98"/>
      <c r="U98"/>
      <c r="V98"/>
      <c r="W98"/>
      <c r="X98"/>
      <c r="Y98"/>
      <c r="Z98"/>
    </row>
    <row r="99" spans="1:26" ht="15">
      <c r="A99" s="211"/>
      <c r="B99" s="137" t="s">
        <v>2</v>
      </c>
      <c r="C99" s="174">
        <v>326.63051000000002</v>
      </c>
      <c r="D99" s="174">
        <v>342.61162200000001</v>
      </c>
      <c r="E99" s="174">
        <v>332.45654999999999</v>
      </c>
      <c r="F99" s="174">
        <v>307.69163700000001</v>
      </c>
      <c r="G99" s="174">
        <v>340.88645400000001</v>
      </c>
      <c r="H99" s="174">
        <v>421.476586</v>
      </c>
      <c r="I99" s="174">
        <v>565.78934400000003</v>
      </c>
      <c r="J99" s="174">
        <v>529.34347600000001</v>
      </c>
      <c r="K99" s="174">
        <v>435.06932</v>
      </c>
      <c r="L99" s="174">
        <v>363.589969</v>
      </c>
      <c r="M99" s="174">
        <v>302.01390600000002</v>
      </c>
      <c r="N99" s="174">
        <v>305.13724000000002</v>
      </c>
      <c r="O99" s="174">
        <v>322.53600799999998</v>
      </c>
      <c r="P99" s="174">
        <v>291.43818700000003</v>
      </c>
      <c r="Q99" s="174">
        <v>125.765775</v>
      </c>
      <c r="R99"/>
      <c r="S99"/>
      <c r="T99"/>
      <c r="U99"/>
      <c r="V99"/>
      <c r="W99"/>
      <c r="X99"/>
      <c r="Y99"/>
      <c r="Z99"/>
    </row>
    <row r="100" spans="1:26" ht="15">
      <c r="A100" s="211"/>
      <c r="B100" s="133" t="s">
        <v>21</v>
      </c>
      <c r="C100" s="173">
        <v>123.950131</v>
      </c>
      <c r="D100" s="173">
        <v>89.734262000000001</v>
      </c>
      <c r="E100" s="173">
        <v>82.194308000000007</v>
      </c>
      <c r="F100" s="173">
        <v>98.033413999999993</v>
      </c>
      <c r="G100" s="173">
        <v>118.762416</v>
      </c>
      <c r="H100" s="173">
        <v>124.350134</v>
      </c>
      <c r="I100" s="173">
        <v>168.54782399999999</v>
      </c>
      <c r="J100" s="173">
        <v>175.00929099999999</v>
      </c>
      <c r="K100" s="173">
        <v>130.854702</v>
      </c>
      <c r="L100" s="173">
        <v>131.44748999999999</v>
      </c>
      <c r="M100" s="173">
        <v>70.767787999999996</v>
      </c>
      <c r="N100" s="173">
        <v>112.440268</v>
      </c>
      <c r="O100" s="173">
        <v>122.760274</v>
      </c>
      <c r="P100" s="173">
        <v>114.74408200000001</v>
      </c>
      <c r="Q100" s="173">
        <v>47.148699999999998</v>
      </c>
      <c r="R100"/>
      <c r="S100"/>
      <c r="T100"/>
      <c r="U100"/>
      <c r="V100"/>
      <c r="W100"/>
      <c r="X100"/>
      <c r="Y100"/>
      <c r="Z100"/>
    </row>
    <row r="101" spans="1:26" ht="15">
      <c r="A101" s="212"/>
      <c r="B101" s="137" t="s">
        <v>79</v>
      </c>
      <c r="C101" s="174">
        <v>450.58064100000001</v>
      </c>
      <c r="D101" s="174">
        <v>432.34588400000001</v>
      </c>
      <c r="E101" s="174">
        <v>414.65085800000003</v>
      </c>
      <c r="F101" s="174">
        <v>405.72505100000001</v>
      </c>
      <c r="G101" s="174">
        <v>459.64886999999999</v>
      </c>
      <c r="H101" s="174">
        <v>545.82672000000002</v>
      </c>
      <c r="I101" s="174">
        <v>734.33716800000002</v>
      </c>
      <c r="J101" s="174">
        <v>704.35276699999997</v>
      </c>
      <c r="K101" s="174">
        <v>565.92402200000004</v>
      </c>
      <c r="L101" s="174">
        <v>495.03745900000001</v>
      </c>
      <c r="M101" s="174">
        <v>372.78169400000002</v>
      </c>
      <c r="N101" s="174">
        <v>417.57750800000002</v>
      </c>
      <c r="O101" s="174">
        <v>445.29628200000002</v>
      </c>
      <c r="P101" s="174">
        <v>406.18226900000002</v>
      </c>
      <c r="Q101" s="174">
        <v>172.91447500000001</v>
      </c>
      <c r="R101"/>
      <c r="S101"/>
      <c r="T101"/>
      <c r="U101"/>
      <c r="V101"/>
      <c r="W101"/>
      <c r="X101"/>
      <c r="Y101"/>
      <c r="Z101"/>
    </row>
    <row r="102" spans="1:26" ht="15">
      <c r="A102" s="215" t="s">
        <v>58</v>
      </c>
      <c r="B102" s="133" t="s">
        <v>12</v>
      </c>
      <c r="C102" s="173">
        <v>0.27497500000000002</v>
      </c>
      <c r="D102" s="173">
        <v>0.25442500000000001</v>
      </c>
      <c r="E102" s="173">
        <v>0.28212599999999999</v>
      </c>
      <c r="F102" s="173">
        <v>0.27610800000000002</v>
      </c>
      <c r="G102" s="173">
        <v>0.29790899999999998</v>
      </c>
      <c r="H102" s="173">
        <v>0.28383700000000001</v>
      </c>
      <c r="I102" s="173">
        <v>0.30198999999999998</v>
      </c>
      <c r="J102" s="173">
        <v>0.28963</v>
      </c>
      <c r="K102" s="173">
        <v>0.28927700000000001</v>
      </c>
      <c r="L102" s="173">
        <v>0.30293500000000001</v>
      </c>
      <c r="M102" s="173">
        <v>0.28046900000000002</v>
      </c>
      <c r="N102" s="173">
        <v>0.30561100000000002</v>
      </c>
      <c r="O102" s="173">
        <v>0.29624200000000001</v>
      </c>
      <c r="P102" s="173">
        <v>0.28508299999999998</v>
      </c>
      <c r="Q102" s="173">
        <v>0</v>
      </c>
      <c r="R102"/>
      <c r="S102"/>
      <c r="T102"/>
      <c r="U102"/>
      <c r="V102"/>
      <c r="W102"/>
      <c r="X102"/>
      <c r="Y102"/>
      <c r="Z102"/>
    </row>
    <row r="103" spans="1:26" ht="15">
      <c r="A103" s="211"/>
      <c r="B103" s="133" t="s">
        <v>78</v>
      </c>
      <c r="C103" s="173">
        <v>149.66655</v>
      </c>
      <c r="D103" s="173">
        <v>151.17901900000001</v>
      </c>
      <c r="E103" s="173">
        <v>141.36258799999999</v>
      </c>
      <c r="F103" s="173">
        <v>149.85577699999999</v>
      </c>
      <c r="G103" s="173">
        <v>152.672844</v>
      </c>
      <c r="H103" s="173">
        <v>159.427877</v>
      </c>
      <c r="I103" s="173">
        <v>147.371253</v>
      </c>
      <c r="J103" s="173">
        <v>158.13818499999999</v>
      </c>
      <c r="K103" s="173">
        <v>154.76962499999999</v>
      </c>
      <c r="L103" s="173">
        <v>179.46748099999999</v>
      </c>
      <c r="M103" s="173">
        <v>168.212242</v>
      </c>
      <c r="N103" s="173">
        <v>171.03556599999999</v>
      </c>
      <c r="O103" s="173">
        <v>166.77709300000001</v>
      </c>
      <c r="P103" s="173">
        <v>147.631508</v>
      </c>
      <c r="Q103" s="173">
        <v>64.570155999999997</v>
      </c>
      <c r="R103"/>
      <c r="S103"/>
      <c r="T103"/>
      <c r="U103"/>
      <c r="V103"/>
      <c r="W103"/>
      <c r="X103"/>
      <c r="Y103"/>
      <c r="Z103"/>
    </row>
    <row r="104" spans="1:26" ht="15">
      <c r="A104" s="211"/>
      <c r="B104" s="133" t="s">
        <v>9</v>
      </c>
      <c r="C104" s="173">
        <v>14.760491</v>
      </c>
      <c r="D104" s="173">
        <v>26.990496</v>
      </c>
      <c r="E104" s="173">
        <v>16.813075000000001</v>
      </c>
      <c r="F104" s="173">
        <v>21.092299000000001</v>
      </c>
      <c r="G104" s="173">
        <v>23.467611000000002</v>
      </c>
      <c r="H104" s="173">
        <v>20.997603000000002</v>
      </c>
      <c r="I104" s="173">
        <v>15.379733999999999</v>
      </c>
      <c r="J104" s="173">
        <v>16.795183000000002</v>
      </c>
      <c r="K104" s="173">
        <v>18.188441000000001</v>
      </c>
      <c r="L104" s="173">
        <v>30.707764999999998</v>
      </c>
      <c r="M104" s="173">
        <v>24.331886999999998</v>
      </c>
      <c r="N104" s="173">
        <v>26.447642999999999</v>
      </c>
      <c r="O104" s="173">
        <v>28.032011000000001</v>
      </c>
      <c r="P104" s="173">
        <v>23.301410000000001</v>
      </c>
      <c r="Q104" s="173">
        <v>3.6936550000000001</v>
      </c>
      <c r="R104"/>
      <c r="S104"/>
      <c r="T104"/>
      <c r="U104"/>
      <c r="V104"/>
      <c r="W104"/>
      <c r="X104"/>
      <c r="Y104"/>
      <c r="Z104"/>
    </row>
    <row r="105" spans="1:26" ht="15">
      <c r="A105" s="211"/>
      <c r="B105" s="133" t="s">
        <v>8</v>
      </c>
      <c r="C105" s="173">
        <v>118.030389</v>
      </c>
      <c r="D105" s="173">
        <v>118.052049</v>
      </c>
      <c r="E105" s="173">
        <v>103.679242</v>
      </c>
      <c r="F105" s="173">
        <v>89.164951000000002</v>
      </c>
      <c r="G105" s="173">
        <v>84.880949000000001</v>
      </c>
      <c r="H105" s="173">
        <v>84.905440999999996</v>
      </c>
      <c r="I105" s="173">
        <v>101.065799</v>
      </c>
      <c r="J105" s="173">
        <v>105.31614999999999</v>
      </c>
      <c r="K105" s="173">
        <v>105.510948</v>
      </c>
      <c r="L105" s="173">
        <v>119.677701</v>
      </c>
      <c r="M105" s="173">
        <v>90.916317000000006</v>
      </c>
      <c r="N105" s="173">
        <v>96.450059999999993</v>
      </c>
      <c r="O105" s="173">
        <v>118.36447</v>
      </c>
      <c r="P105" s="173">
        <v>100.186932</v>
      </c>
      <c r="Q105" s="173">
        <v>43.525283000000002</v>
      </c>
      <c r="R105"/>
      <c r="S105"/>
      <c r="T105"/>
      <c r="U105"/>
      <c r="V105"/>
      <c r="W105"/>
      <c r="X105"/>
      <c r="Y105"/>
      <c r="Z105"/>
    </row>
    <row r="106" spans="1:26" ht="15">
      <c r="A106" s="211"/>
      <c r="B106" s="133" t="s">
        <v>25</v>
      </c>
      <c r="C106" s="173">
        <v>279.418815</v>
      </c>
      <c r="D106" s="173">
        <v>289.33312999999998</v>
      </c>
      <c r="E106" s="173">
        <v>284.83144399999998</v>
      </c>
      <c r="F106" s="173">
        <v>279.54366599999997</v>
      </c>
      <c r="G106" s="173">
        <v>275.34098399999999</v>
      </c>
      <c r="H106" s="173">
        <v>351.45923099999999</v>
      </c>
      <c r="I106" s="173">
        <v>250.52108799999999</v>
      </c>
      <c r="J106" s="173">
        <v>306.93109600000003</v>
      </c>
      <c r="K106" s="173">
        <v>329.65078499999998</v>
      </c>
      <c r="L106" s="173">
        <v>385.37423100000001</v>
      </c>
      <c r="M106" s="173">
        <v>320.60776499999997</v>
      </c>
      <c r="N106" s="173">
        <v>343.70541600000001</v>
      </c>
      <c r="O106" s="173">
        <v>348.60822999999999</v>
      </c>
      <c r="P106" s="173">
        <v>282.95672999999999</v>
      </c>
      <c r="Q106" s="173">
        <v>115.553726</v>
      </c>
      <c r="R106"/>
      <c r="S106"/>
      <c r="T106"/>
      <c r="U106"/>
      <c r="V106"/>
      <c r="W106"/>
      <c r="X106"/>
      <c r="Y106"/>
      <c r="Z106"/>
    </row>
    <row r="107" spans="1:26" ht="15">
      <c r="A107" s="211"/>
      <c r="B107" s="133" t="s">
        <v>24</v>
      </c>
      <c r="C107" s="173">
        <v>-1.3847999999999999E-2</v>
      </c>
      <c r="D107" s="173">
        <v>-9.9690000000000004E-3</v>
      </c>
      <c r="E107" s="173">
        <v>-1.3753E-2</v>
      </c>
      <c r="F107" s="173">
        <v>-1.2926999999999999E-2</v>
      </c>
      <c r="G107" s="173">
        <v>-1.3481E-2</v>
      </c>
      <c r="H107" s="173">
        <v>-2.0100000000000001E-3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v>0</v>
      </c>
      <c r="O107" s="173">
        <v>0</v>
      </c>
      <c r="P107" s="173">
        <v>0</v>
      </c>
      <c r="Q107" s="173">
        <v>0</v>
      </c>
      <c r="R107"/>
      <c r="S107"/>
      <c r="T107"/>
      <c r="U107"/>
      <c r="V107"/>
      <c r="W107"/>
      <c r="X107"/>
      <c r="Y107"/>
      <c r="Z107"/>
    </row>
    <row r="108" spans="1:26" ht="15">
      <c r="A108" s="211"/>
      <c r="B108" s="133" t="s">
        <v>6</v>
      </c>
      <c r="C108" s="173">
        <v>1.6495040000000001</v>
      </c>
      <c r="D108" s="173">
        <v>0.82934099999999999</v>
      </c>
      <c r="E108" s="173">
        <v>1.5724450000000001</v>
      </c>
      <c r="F108" s="173">
        <v>1.573337</v>
      </c>
      <c r="G108" s="173">
        <v>2.0671949999999999</v>
      </c>
      <c r="H108" s="173">
        <v>0.80873799999999996</v>
      </c>
      <c r="I108" s="173">
        <v>2.7590569999999999</v>
      </c>
      <c r="J108" s="173">
        <v>2.6998280000000001</v>
      </c>
      <c r="K108" s="173">
        <v>1.3149919999999999</v>
      </c>
      <c r="L108" s="173">
        <v>0.44324000000000002</v>
      </c>
      <c r="M108" s="173">
        <v>1.0899650000000001</v>
      </c>
      <c r="N108" s="173">
        <v>0.66913</v>
      </c>
      <c r="O108" s="173">
        <v>0.66808100000000004</v>
      </c>
      <c r="P108" s="173">
        <v>1.414679</v>
      </c>
      <c r="Q108" s="173">
        <v>1.0873999999999999</v>
      </c>
      <c r="R108"/>
      <c r="S108"/>
      <c r="T108"/>
      <c r="U108"/>
      <c r="V108"/>
      <c r="W108"/>
      <c r="X108"/>
      <c r="Y108"/>
      <c r="Z108"/>
    </row>
    <row r="109" spans="1:26" ht="15">
      <c r="A109" s="211"/>
      <c r="B109" s="133" t="s">
        <v>5</v>
      </c>
      <c r="C109" s="173">
        <v>132.72816599999999</v>
      </c>
      <c r="D109" s="173">
        <v>42.67051</v>
      </c>
      <c r="E109" s="173">
        <v>130.23741999999999</v>
      </c>
      <c r="F109" s="173">
        <v>103.685765</v>
      </c>
      <c r="G109" s="173">
        <v>131.84913700000001</v>
      </c>
      <c r="H109" s="173">
        <v>63.874986999999997</v>
      </c>
      <c r="I109" s="173">
        <v>209.60142099999999</v>
      </c>
      <c r="J109" s="173">
        <v>178.40248800000001</v>
      </c>
      <c r="K109" s="173">
        <v>103.232878</v>
      </c>
      <c r="L109" s="173">
        <v>57.758575</v>
      </c>
      <c r="M109" s="173">
        <v>99.872924999999995</v>
      </c>
      <c r="N109" s="173">
        <v>70.816050000000004</v>
      </c>
      <c r="O109" s="173">
        <v>53.196173999999999</v>
      </c>
      <c r="P109" s="173">
        <v>108.558363</v>
      </c>
      <c r="Q109" s="173">
        <v>49.034439999999996</v>
      </c>
      <c r="R109"/>
      <c r="S109"/>
      <c r="T109"/>
      <c r="U109"/>
      <c r="V109"/>
      <c r="W109"/>
      <c r="X109"/>
      <c r="Y109"/>
      <c r="Z109"/>
    </row>
    <row r="110" spans="1:26" ht="15">
      <c r="A110" s="211"/>
      <c r="B110" s="133" t="s">
        <v>4</v>
      </c>
      <c r="C110" s="173">
        <v>22.121485</v>
      </c>
      <c r="D110" s="173">
        <v>20.382895000000001</v>
      </c>
      <c r="E110" s="173">
        <v>32.428702000000001</v>
      </c>
      <c r="F110" s="173">
        <v>30.033574000000002</v>
      </c>
      <c r="G110" s="173">
        <v>30.564440999999999</v>
      </c>
      <c r="H110" s="173">
        <v>30.691880000000001</v>
      </c>
      <c r="I110" s="173">
        <v>35.002752999999998</v>
      </c>
      <c r="J110" s="173">
        <v>33.602015999999999</v>
      </c>
      <c r="K110" s="173">
        <v>31.322213000000001</v>
      </c>
      <c r="L110" s="173">
        <v>29.6997</v>
      </c>
      <c r="M110" s="173">
        <v>24.842165000000001</v>
      </c>
      <c r="N110" s="173">
        <v>23.549019999999999</v>
      </c>
      <c r="O110" s="173">
        <v>24.433125</v>
      </c>
      <c r="P110" s="173">
        <v>26.103355000000001</v>
      </c>
      <c r="Q110" s="173">
        <v>10.927163999999999</v>
      </c>
      <c r="R110"/>
      <c r="S110"/>
      <c r="T110"/>
      <c r="U110"/>
      <c r="V110"/>
      <c r="W110"/>
      <c r="X110"/>
      <c r="Y110"/>
      <c r="Z110"/>
    </row>
    <row r="111" spans="1:26" ht="15">
      <c r="A111" s="211"/>
      <c r="B111" s="133" t="s">
        <v>22</v>
      </c>
      <c r="C111" s="173">
        <v>0.78413299999999997</v>
      </c>
      <c r="D111" s="173">
        <v>0.71108700000000002</v>
      </c>
      <c r="E111" s="173">
        <v>0.73842799999999997</v>
      </c>
      <c r="F111" s="173">
        <v>0.63095199999999996</v>
      </c>
      <c r="G111" s="173">
        <v>0.65055600000000002</v>
      </c>
      <c r="H111" s="173">
        <v>0.66513100000000003</v>
      </c>
      <c r="I111" s="173">
        <v>0.64607300000000001</v>
      </c>
      <c r="J111" s="173">
        <v>0.37482700000000002</v>
      </c>
      <c r="K111" s="173">
        <v>0.37211699999999998</v>
      </c>
      <c r="L111" s="173">
        <v>0.52430399999999999</v>
      </c>
      <c r="M111" s="173">
        <v>0.42454199999999997</v>
      </c>
      <c r="N111" s="173">
        <v>0.44537900000000002</v>
      </c>
      <c r="O111" s="173">
        <v>0.50013399999999997</v>
      </c>
      <c r="P111" s="173">
        <v>0.49944300000000003</v>
      </c>
      <c r="Q111" s="173">
        <v>0</v>
      </c>
      <c r="R111"/>
      <c r="S111"/>
      <c r="T111"/>
      <c r="U111"/>
      <c r="V111"/>
      <c r="W111"/>
      <c r="X111"/>
      <c r="Y111"/>
      <c r="Z111"/>
    </row>
    <row r="112" spans="1:26" ht="15">
      <c r="A112" s="211"/>
      <c r="B112" s="133" t="s">
        <v>23</v>
      </c>
      <c r="C112" s="173">
        <v>0</v>
      </c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v>0</v>
      </c>
      <c r="L112" s="173">
        <v>0</v>
      </c>
      <c r="M112" s="173">
        <v>0</v>
      </c>
      <c r="N112" s="173">
        <v>0</v>
      </c>
      <c r="O112" s="173">
        <v>0</v>
      </c>
      <c r="P112" s="173">
        <v>0</v>
      </c>
      <c r="Q112" s="173">
        <v>0</v>
      </c>
      <c r="R112"/>
      <c r="S112"/>
      <c r="T112"/>
      <c r="U112"/>
      <c r="V112"/>
      <c r="W112"/>
      <c r="X112"/>
      <c r="Y112"/>
      <c r="Z112"/>
    </row>
    <row r="113" spans="1:26" ht="15">
      <c r="A113" s="211"/>
      <c r="B113" s="137" t="s">
        <v>2</v>
      </c>
      <c r="C113" s="174">
        <v>719.42066</v>
      </c>
      <c r="D113" s="174">
        <v>650.39298299999996</v>
      </c>
      <c r="E113" s="174">
        <v>711.93171700000005</v>
      </c>
      <c r="F113" s="174">
        <v>675.84350199999994</v>
      </c>
      <c r="G113" s="174">
        <v>701.77814499999999</v>
      </c>
      <c r="H113" s="174">
        <v>713.11271499999998</v>
      </c>
      <c r="I113" s="174">
        <v>762.64916800000003</v>
      </c>
      <c r="J113" s="174">
        <v>802.54940299999998</v>
      </c>
      <c r="K113" s="174">
        <v>744.65127600000005</v>
      </c>
      <c r="L113" s="174">
        <v>803.95593199999996</v>
      </c>
      <c r="M113" s="174">
        <v>730.57827699999996</v>
      </c>
      <c r="N113" s="174">
        <v>733.42387499999995</v>
      </c>
      <c r="O113" s="174">
        <v>740.87555999999995</v>
      </c>
      <c r="P113" s="174">
        <v>690.93750299999999</v>
      </c>
      <c r="Q113" s="174">
        <v>288.39182399999999</v>
      </c>
      <c r="R113"/>
      <c r="S113"/>
      <c r="T113"/>
      <c r="U113"/>
      <c r="V113"/>
      <c r="W113"/>
      <c r="X113"/>
      <c r="Y113"/>
      <c r="Z113"/>
    </row>
    <row r="114" spans="1:26" ht="15">
      <c r="A114" s="212"/>
      <c r="B114" s="137" t="s">
        <v>79</v>
      </c>
      <c r="C114" s="174">
        <v>719.42066</v>
      </c>
      <c r="D114" s="174">
        <v>650.39298299999996</v>
      </c>
      <c r="E114" s="174">
        <v>711.93171700000005</v>
      </c>
      <c r="F114" s="174">
        <v>675.84350199999994</v>
      </c>
      <c r="G114" s="174">
        <v>701.77814499999999</v>
      </c>
      <c r="H114" s="174">
        <v>713.11271499999998</v>
      </c>
      <c r="I114" s="174">
        <v>762.64916800000003</v>
      </c>
      <c r="J114" s="174">
        <v>802.54940299999998</v>
      </c>
      <c r="K114" s="174">
        <v>744.65127600000005</v>
      </c>
      <c r="L114" s="174">
        <v>803.95593199999996</v>
      </c>
      <c r="M114" s="174">
        <v>730.57827699999996</v>
      </c>
      <c r="N114" s="174">
        <v>733.42387499999995</v>
      </c>
      <c r="O114" s="174">
        <v>740.87555999999995</v>
      </c>
      <c r="P114" s="174">
        <v>690.93750299999999</v>
      </c>
      <c r="Q114" s="174">
        <v>288.39182399999999</v>
      </c>
      <c r="R114"/>
      <c r="S114"/>
      <c r="T114"/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febrero 2023</v>
      </c>
      <c r="D117" s="111" t="str">
        <f t="shared" ref="D117:M117" si="6">TEXT(EDATE(E117,-1),"mmmm aaaa")</f>
        <v>marzo 2023</v>
      </c>
      <c r="E117" s="111" t="str">
        <f t="shared" si="6"/>
        <v>abril 2023</v>
      </c>
      <c r="F117" s="111" t="str">
        <f t="shared" si="6"/>
        <v>mayo 2023</v>
      </c>
      <c r="G117" s="111" t="str">
        <f t="shared" si="6"/>
        <v>junio 2023</v>
      </c>
      <c r="H117" s="111" t="str">
        <f t="shared" si="6"/>
        <v>julio 2023</v>
      </c>
      <c r="I117" s="111" t="str">
        <f t="shared" si="6"/>
        <v>agosto 2023</v>
      </c>
      <c r="J117" s="111" t="str">
        <f t="shared" si="6"/>
        <v>septiembre 2023</v>
      </c>
      <c r="K117" s="111" t="str">
        <f t="shared" si="6"/>
        <v>octubre 2023</v>
      </c>
      <c r="L117" s="111" t="str">
        <f t="shared" si="6"/>
        <v>noviembre 2023</v>
      </c>
      <c r="M117" s="111" t="str">
        <f t="shared" si="6"/>
        <v>diciembre 2023</v>
      </c>
      <c r="N117" s="111" t="str">
        <f>TEXT(EDATE(O117,-1),"mmmm aaaa")</f>
        <v>enero 2024</v>
      </c>
      <c r="O117" s="112" t="str">
        <f>A2</f>
        <v>Febrero 2024</v>
      </c>
    </row>
    <row r="118" spans="1:26">
      <c r="B118" s="209"/>
      <c r="C118" s="121" t="str">
        <f>TEXT(EDATE($A$2,-12),"mmm")&amp;".-"&amp;TEXT(EDATE($A$2,-12),"aa")</f>
        <v>feb.-23</v>
      </c>
      <c r="D118" s="121" t="str">
        <f>TEXT(EDATE($A$2,-11),"mmm")&amp;".-"&amp;TEXT(EDATE($A$2,-11),"aa")</f>
        <v>mar.-23</v>
      </c>
      <c r="E118" s="121" t="str">
        <f>TEXT(EDATE($A$2,-10),"mmm")&amp;".-"&amp;TEXT(EDATE($A$2,-10),"aa")</f>
        <v>abr.-23</v>
      </c>
      <c r="F118" s="121" t="str">
        <f>TEXT(EDATE($A$2,-9),"mmm")&amp;".-"&amp;TEXT(EDATE($A$2,-9),"aa")</f>
        <v>may.-23</v>
      </c>
      <c r="G118" s="121" t="str">
        <f>TEXT(EDATE($A$2,-8),"mmm")&amp;".-"&amp;TEXT(EDATE($A$2,-8),"aa")</f>
        <v>jun.-23</v>
      </c>
      <c r="H118" s="121" t="str">
        <f>TEXT(EDATE($A$2,-7),"mmm")&amp;".-"&amp;TEXT(EDATE($A$2,-7),"aa")</f>
        <v>jul.-23</v>
      </c>
      <c r="I118" s="121" t="str">
        <f>TEXT(EDATE($A$2,-6),"mmm")&amp;".-"&amp;TEXT(EDATE($A$2,-6),"aa")</f>
        <v>ago.-23</v>
      </c>
      <c r="J118" s="121" t="str">
        <f>TEXT(EDATE($A$2,-5),"mmm")&amp;".-"&amp;TEXT(EDATE($A$2,-5),"aa")</f>
        <v>sep.-23</v>
      </c>
      <c r="K118" s="121" t="str">
        <f>TEXT(EDATE($A$2,-4),"mmm")&amp;".-"&amp;TEXT(EDATE($A$2,-4),"aa")</f>
        <v>oct.-23</v>
      </c>
      <c r="L118" s="121" t="str">
        <f>TEXT(EDATE($A$2,-3),"mmm")&amp;".-"&amp;TEXT(EDATE($A$2,-3),"aa")</f>
        <v>nov.-23</v>
      </c>
      <c r="M118" s="121" t="str">
        <f>TEXT(EDATE($A$2,-2),"mmm")&amp;".-"&amp;TEXT(EDATE($A$2,-2),"aa")</f>
        <v>dic.-23</v>
      </c>
      <c r="N118" s="121" t="str">
        <f>TEXT(EDATE($A$2,-1),"mmm")&amp;".-"&amp;TEXT(EDATE($A$2,-1),"aa")</f>
        <v>ene.-24</v>
      </c>
      <c r="O118" s="143" t="str">
        <f>TEXT($A$2,"mmm")&amp;".-"&amp;TEXT($A$2,"aa")</f>
        <v>feb.-24</v>
      </c>
    </row>
    <row r="119" spans="1:26">
      <c r="A119" s="205" t="s">
        <v>76</v>
      </c>
      <c r="B119" s="122" t="s">
        <v>11</v>
      </c>
      <c r="C119" s="123">
        <f>HLOOKUP(C$117,$86:$101,3,FALSE)</f>
        <v>-0.70697299999999996</v>
      </c>
      <c r="D119" s="123">
        <f t="shared" ref="D119:N119" si="7">HLOOKUP(D$117,$86:$101,3,FALSE)</f>
        <v>-0.51834000000000002</v>
      </c>
      <c r="E119" s="123">
        <f t="shared" si="7"/>
        <v>-0.60865999999999998</v>
      </c>
      <c r="F119" s="123">
        <f t="shared" si="7"/>
        <v>-0.83296899999999996</v>
      </c>
      <c r="G119" s="123">
        <f t="shared" si="7"/>
        <v>3.1799559999999998</v>
      </c>
      <c r="H119" s="123">
        <f t="shared" si="7"/>
        <v>54.925434000000003</v>
      </c>
      <c r="I119" s="123">
        <f t="shared" si="7"/>
        <v>9.0232189999999992</v>
      </c>
      <c r="J119" s="123">
        <f t="shared" si="7"/>
        <v>-0.82337800000000005</v>
      </c>
      <c r="K119" s="123">
        <f t="shared" si="7"/>
        <v>-0.82724900000000001</v>
      </c>
      <c r="L119" s="123">
        <f t="shared" si="7"/>
        <v>-0.89542500000000003</v>
      </c>
      <c r="M119" s="123">
        <f t="shared" si="7"/>
        <v>-0.69586499999999996</v>
      </c>
      <c r="N119" s="123">
        <f t="shared" si="7"/>
        <v>-0.70605399999999996</v>
      </c>
      <c r="O119" s="124">
        <f>HLOOKUP(O$117,$86:$101,3,FALSE)</f>
        <v>-0.66276199999999996</v>
      </c>
    </row>
    <row r="120" spans="1:26">
      <c r="A120" s="206"/>
      <c r="B120" s="105" t="s">
        <v>10</v>
      </c>
      <c r="C120" s="107">
        <f>HLOOKUP(C$117,$86:$101,4,FALSE)</f>
        <v>15.008727</v>
      </c>
      <c r="D120" s="107">
        <f t="shared" ref="D120:O120" si="8">HLOOKUP(D$117,$86:$101,4,FALSE)</f>
        <v>6.2192920000000003</v>
      </c>
      <c r="E120" s="107">
        <f t="shared" si="8"/>
        <v>7.134449</v>
      </c>
      <c r="F120" s="107">
        <f t="shared" si="8"/>
        <v>12.70701</v>
      </c>
      <c r="G120" s="107">
        <f t="shared" si="8"/>
        <v>20.755147999999998</v>
      </c>
      <c r="H120" s="107">
        <f t="shared" si="8"/>
        <v>57.618448999999998</v>
      </c>
      <c r="I120" s="107">
        <f t="shared" si="8"/>
        <v>64.924531000000002</v>
      </c>
      <c r="J120" s="107">
        <f t="shared" si="8"/>
        <v>32.782569000000002</v>
      </c>
      <c r="K120" s="107">
        <f t="shared" si="8"/>
        <v>16.979832999999999</v>
      </c>
      <c r="L120" s="107">
        <f t="shared" si="8"/>
        <v>5.9974980000000002</v>
      </c>
      <c r="M120" s="107">
        <f t="shared" si="8"/>
        <v>5.6586610000000004</v>
      </c>
      <c r="N120" s="107">
        <f t="shared" si="8"/>
        <v>5.2892989999999998</v>
      </c>
      <c r="O120" s="124">
        <f t="shared" si="8"/>
        <v>4.8235140000000003</v>
      </c>
    </row>
    <row r="121" spans="1:26">
      <c r="A121" s="206"/>
      <c r="B121" s="105" t="s">
        <v>9</v>
      </c>
      <c r="C121" s="107">
        <f>HLOOKUP(C$117,$86:$101,5,FALSE)</f>
        <v>32.328426999999998</v>
      </c>
      <c r="D121" s="107">
        <f t="shared" ref="D121:O121" si="9">HLOOKUP(D$117,$86:$101,5,FALSE)</f>
        <v>34.532919999999997</v>
      </c>
      <c r="E121" s="107">
        <f t="shared" si="9"/>
        <v>29.44258</v>
      </c>
      <c r="F121" s="107">
        <f t="shared" si="9"/>
        <v>35.218071999999999</v>
      </c>
      <c r="G121" s="107">
        <f t="shared" si="9"/>
        <v>56.449230999999997</v>
      </c>
      <c r="H121" s="107">
        <f t="shared" si="9"/>
        <v>67.064257999999995</v>
      </c>
      <c r="I121" s="107">
        <f t="shared" si="9"/>
        <v>53.415241999999999</v>
      </c>
      <c r="J121" s="107">
        <f t="shared" si="9"/>
        <v>49.271726999999998</v>
      </c>
      <c r="K121" s="107">
        <f t="shared" si="9"/>
        <v>44.274278000000002</v>
      </c>
      <c r="L121" s="107">
        <f t="shared" si="9"/>
        <v>24.187601999999998</v>
      </c>
      <c r="M121" s="107">
        <f t="shared" si="9"/>
        <v>22.604486999999999</v>
      </c>
      <c r="N121" s="107">
        <f t="shared" si="9"/>
        <v>25.154277</v>
      </c>
      <c r="O121" s="124">
        <f t="shared" si="9"/>
        <v>23.798262999999999</v>
      </c>
    </row>
    <row r="122" spans="1:26" ht="14.25">
      <c r="A122" s="206"/>
      <c r="B122" s="105" t="s">
        <v>74</v>
      </c>
      <c r="C122" s="107">
        <f>HLOOKUP(C$117,$86:$101,6,FALSE)</f>
        <v>250.50749099999999</v>
      </c>
      <c r="D122" s="107">
        <f t="shared" ref="D122:O122" si="10">HLOOKUP(D$117,$86:$101,6,FALSE)</f>
        <v>233.28242</v>
      </c>
      <c r="E122" s="107">
        <f t="shared" si="10"/>
        <v>207.738203</v>
      </c>
      <c r="F122" s="107">
        <f t="shared" si="10"/>
        <v>231.47546199999999</v>
      </c>
      <c r="G122" s="107">
        <f t="shared" si="10"/>
        <v>269.55010299999998</v>
      </c>
      <c r="H122" s="107">
        <f t="shared" si="10"/>
        <v>316.35504600000002</v>
      </c>
      <c r="I122" s="107">
        <f t="shared" si="10"/>
        <v>324.37696499999998</v>
      </c>
      <c r="J122" s="107">
        <f t="shared" si="10"/>
        <v>296.32292799999999</v>
      </c>
      <c r="K122" s="107">
        <f t="shared" si="10"/>
        <v>247.112684</v>
      </c>
      <c r="L122" s="107">
        <f t="shared" si="10"/>
        <v>224.26124200000001</v>
      </c>
      <c r="M122" s="107">
        <f t="shared" si="10"/>
        <v>233.91494</v>
      </c>
      <c r="N122" s="107">
        <f t="shared" si="10"/>
        <v>244.02029300000001</v>
      </c>
      <c r="O122" s="124">
        <f t="shared" si="10"/>
        <v>218.49136100000001</v>
      </c>
    </row>
    <row r="123" spans="1:26">
      <c r="A123" s="206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0.18323999999999999</v>
      </c>
      <c r="D124" s="107">
        <f t="shared" ref="D124:O124" si="12">HLOOKUP(D$117,$86:$102,8,FALSE)</f>
        <v>0.20035</v>
      </c>
      <c r="E124" s="107">
        <f t="shared" si="12"/>
        <v>0.12734500000000001</v>
      </c>
      <c r="F124" s="107">
        <f t="shared" si="12"/>
        <v>0.24965100000000001</v>
      </c>
      <c r="G124" s="107">
        <f t="shared" si="12"/>
        <v>5.6180000000000001E-2</v>
      </c>
      <c r="H124" s="107">
        <f t="shared" si="12"/>
        <v>0.118565</v>
      </c>
      <c r="I124" s="107">
        <f t="shared" si="12"/>
        <v>9.7920999999999994E-2</v>
      </c>
      <c r="J124" s="107">
        <f t="shared" si="12"/>
        <v>0</v>
      </c>
      <c r="K124" s="107">
        <f t="shared" si="12"/>
        <v>1.0359999999999999E-2</v>
      </c>
      <c r="L124" s="107">
        <f t="shared" si="12"/>
        <v>8.7279999999999996E-3</v>
      </c>
      <c r="M124" s="107">
        <f t="shared" si="12"/>
        <v>0</v>
      </c>
      <c r="N124" s="107">
        <f t="shared" si="12"/>
        <v>0</v>
      </c>
      <c r="O124" s="124">
        <f t="shared" si="12"/>
        <v>0</v>
      </c>
    </row>
    <row r="125" spans="1:26">
      <c r="A125" s="206"/>
      <c r="B125" s="105" t="s">
        <v>4</v>
      </c>
      <c r="C125" s="107">
        <f>HLOOKUP(C$117,$86:$102,9,FALSE)</f>
        <v>22.493357</v>
      </c>
      <c r="D125" s="107">
        <f t="shared" ref="D125:O125" si="13">HLOOKUP(D$117,$86:$102,9,FALSE)</f>
        <v>35.774521</v>
      </c>
      <c r="E125" s="107">
        <f t="shared" si="13"/>
        <v>38.851148000000002</v>
      </c>
      <c r="F125" s="107">
        <f t="shared" si="13"/>
        <v>34.004562</v>
      </c>
      <c r="G125" s="107">
        <f t="shared" si="13"/>
        <v>36.423403999999998</v>
      </c>
      <c r="H125" s="107">
        <f t="shared" si="13"/>
        <v>41.343387999999997</v>
      </c>
      <c r="I125" s="107">
        <f t="shared" si="13"/>
        <v>44.372684</v>
      </c>
      <c r="J125" s="107">
        <f t="shared" si="13"/>
        <v>34.510787000000001</v>
      </c>
      <c r="K125" s="107">
        <f t="shared" si="13"/>
        <v>32.549160999999998</v>
      </c>
      <c r="L125" s="107">
        <f t="shared" si="13"/>
        <v>23.864156000000001</v>
      </c>
      <c r="M125" s="107">
        <f t="shared" si="13"/>
        <v>22.334897999999999</v>
      </c>
      <c r="N125" s="107">
        <f t="shared" si="13"/>
        <v>23.767339</v>
      </c>
      <c r="O125" s="124">
        <f t="shared" si="13"/>
        <v>29.999758</v>
      </c>
    </row>
    <row r="126" spans="1:26">
      <c r="A126" s="206"/>
      <c r="B126" s="113" t="s">
        <v>22</v>
      </c>
      <c r="C126" s="107">
        <f>HLOOKUP(C$117,$86:$102,10,FALSE)</f>
        <v>0.13599800000000001</v>
      </c>
      <c r="D126" s="107">
        <f t="shared" ref="D126:O126" si="14">HLOOKUP(D$117,$86:$102,10,FALSE)</f>
        <v>0.11230800000000001</v>
      </c>
      <c r="E126" s="107">
        <f t="shared" si="14"/>
        <v>7.399E-2</v>
      </c>
      <c r="F126" s="107">
        <f t="shared" si="14"/>
        <v>9.0162999999999993E-2</v>
      </c>
      <c r="G126" s="107">
        <f t="shared" si="14"/>
        <v>8.4139000000000005E-2</v>
      </c>
      <c r="H126" s="107">
        <f t="shared" si="14"/>
        <v>3.7238E-2</v>
      </c>
      <c r="I126" s="107">
        <f t="shared" si="14"/>
        <v>2.6629E-2</v>
      </c>
      <c r="J126" s="107">
        <f t="shared" si="14"/>
        <v>3.1858999999999998E-2</v>
      </c>
      <c r="K126" s="107">
        <f t="shared" si="14"/>
        <v>3.9587999999999998E-2</v>
      </c>
      <c r="L126" s="107">
        <f t="shared" si="14"/>
        <v>0.134767</v>
      </c>
      <c r="M126" s="107">
        <f t="shared" si="14"/>
        <v>0.12625700000000001</v>
      </c>
      <c r="N126" s="107">
        <f t="shared" si="14"/>
        <v>0.103766</v>
      </c>
      <c r="O126" s="124">
        <f t="shared" si="14"/>
        <v>3.1210000000000002E-2</v>
      </c>
    </row>
    <row r="127" spans="1:26">
      <c r="A127" s="206"/>
      <c r="B127" s="113" t="s">
        <v>23</v>
      </c>
      <c r="C127" s="107">
        <f>HLOOKUP(C$117,$86:$102,11,FALSE)</f>
        <v>3.0015830000000001</v>
      </c>
      <c r="D127" s="107">
        <f t="shared" ref="D127:O127" si="15">HLOOKUP(D$117,$86:$102,11,FALSE)</f>
        <v>3.577315</v>
      </c>
      <c r="E127" s="107">
        <f t="shared" si="15"/>
        <v>3.6179220000000001</v>
      </c>
      <c r="F127" s="107">
        <f t="shared" si="15"/>
        <v>3.5173019999999999</v>
      </c>
      <c r="G127" s="107">
        <f t="shared" si="15"/>
        <v>3.783118</v>
      </c>
      <c r="H127" s="107">
        <f t="shared" si="15"/>
        <v>3.2446030000000001</v>
      </c>
      <c r="I127" s="107">
        <f t="shared" si="15"/>
        <v>3.7400570000000002</v>
      </c>
      <c r="J127" s="107">
        <f t="shared" si="15"/>
        <v>3.104663</v>
      </c>
      <c r="K127" s="107">
        <f t="shared" si="15"/>
        <v>1.7294940000000001</v>
      </c>
      <c r="L127" s="107">
        <f t="shared" si="15"/>
        <v>2.8349500000000001</v>
      </c>
      <c r="M127" s="107">
        <f t="shared" si="15"/>
        <v>3.210191</v>
      </c>
      <c r="N127" s="107">
        <f t="shared" si="15"/>
        <v>3.9370180000000001</v>
      </c>
      <c r="O127" s="124">
        <f t="shared" si="15"/>
        <v>3.7397490000000002</v>
      </c>
    </row>
    <row r="128" spans="1:26">
      <c r="A128" s="206"/>
      <c r="B128" s="105" t="s">
        <v>55</v>
      </c>
      <c r="C128" s="107">
        <f t="shared" ref="C128:O128" si="16">HLOOKUP(C$117,$86:$102,13,FALSE)</f>
        <v>9.8298860000000001</v>
      </c>
      <c r="D128" s="107">
        <f t="shared" si="16"/>
        <v>9.6378819999999994</v>
      </c>
      <c r="E128" s="107">
        <f t="shared" si="16"/>
        <v>10.65733</v>
      </c>
      <c r="F128" s="107">
        <f t="shared" si="16"/>
        <v>12.228600500000001</v>
      </c>
      <c r="G128" s="107">
        <f t="shared" si="16"/>
        <v>15.5976535</v>
      </c>
      <c r="H128" s="107">
        <f t="shared" si="16"/>
        <v>12.5411815</v>
      </c>
      <c r="I128" s="107">
        <f t="shared" si="16"/>
        <v>14.683114</v>
      </c>
      <c r="J128" s="107">
        <f t="shared" si="16"/>
        <v>9.9340825000000006</v>
      </c>
      <c r="K128" s="107">
        <f t="shared" si="16"/>
        <v>10.860910000000001</v>
      </c>
      <c r="L128" s="107">
        <f t="shared" si="16"/>
        <v>10.810193999999999</v>
      </c>
      <c r="M128" s="107">
        <f t="shared" si="16"/>
        <v>8.9918355000000005</v>
      </c>
      <c r="N128" s="107">
        <f t="shared" si="16"/>
        <v>10.485035</v>
      </c>
      <c r="O128" s="124">
        <f t="shared" si="16"/>
        <v>5.6085469999999997</v>
      </c>
    </row>
    <row r="129" spans="1:15">
      <c r="A129" s="206"/>
      <c r="B129" s="105" t="s">
        <v>54</v>
      </c>
      <c r="C129" s="107">
        <f>HLOOKUP(C$117,$86:$102,12,FALSE)</f>
        <v>9.8298860000000001</v>
      </c>
      <c r="D129" s="107">
        <f t="shared" ref="D129:O129" si="17">HLOOKUP(D$117,$86:$102,12,FALSE)</f>
        <v>9.6378819999999994</v>
      </c>
      <c r="E129" s="107">
        <f t="shared" si="17"/>
        <v>10.65733</v>
      </c>
      <c r="F129" s="107">
        <f t="shared" si="17"/>
        <v>12.228600500000001</v>
      </c>
      <c r="G129" s="107">
        <f t="shared" si="17"/>
        <v>15.5976535</v>
      </c>
      <c r="H129" s="107">
        <f t="shared" si="17"/>
        <v>12.5411815</v>
      </c>
      <c r="I129" s="107">
        <f t="shared" si="17"/>
        <v>14.683114</v>
      </c>
      <c r="J129" s="107">
        <f t="shared" si="17"/>
        <v>9.9340825000000006</v>
      </c>
      <c r="K129" s="107">
        <f t="shared" si="17"/>
        <v>10.860910000000001</v>
      </c>
      <c r="L129" s="107">
        <f t="shared" si="17"/>
        <v>10.810193999999999</v>
      </c>
      <c r="M129" s="107">
        <f t="shared" si="17"/>
        <v>8.9918355000000005</v>
      </c>
      <c r="N129" s="107">
        <f t="shared" si="17"/>
        <v>10.485035</v>
      </c>
      <c r="O129" s="124">
        <f t="shared" si="17"/>
        <v>5.6085469999999997</v>
      </c>
    </row>
    <row r="130" spans="1:15">
      <c r="A130" s="206"/>
      <c r="B130" s="114" t="s">
        <v>2</v>
      </c>
      <c r="C130" s="115">
        <f>HLOOKUP(C$117,$86:$102,14,FALSE)</f>
        <v>342.61162200000001</v>
      </c>
      <c r="D130" s="115">
        <f t="shared" ref="D130:O130" si="18">HLOOKUP(D$117,$86:$102,14,FALSE)</f>
        <v>332.45654999999999</v>
      </c>
      <c r="E130" s="115">
        <f t="shared" si="18"/>
        <v>307.69163700000001</v>
      </c>
      <c r="F130" s="115">
        <f t="shared" si="18"/>
        <v>340.88645400000001</v>
      </c>
      <c r="G130" s="115">
        <f t="shared" si="18"/>
        <v>421.476586</v>
      </c>
      <c r="H130" s="115">
        <f t="shared" si="18"/>
        <v>565.78934400000003</v>
      </c>
      <c r="I130" s="115">
        <f t="shared" si="18"/>
        <v>529.34347600000001</v>
      </c>
      <c r="J130" s="115">
        <f t="shared" si="18"/>
        <v>435.06932</v>
      </c>
      <c r="K130" s="115">
        <f t="shared" si="18"/>
        <v>363.589969</v>
      </c>
      <c r="L130" s="115">
        <f t="shared" si="18"/>
        <v>302.01390600000002</v>
      </c>
      <c r="M130" s="115">
        <f t="shared" si="18"/>
        <v>305.13724000000002</v>
      </c>
      <c r="N130" s="115">
        <f t="shared" si="18"/>
        <v>322.53600799999998</v>
      </c>
      <c r="O130" s="125">
        <f t="shared" si="18"/>
        <v>291.43818700000003</v>
      </c>
    </row>
    <row r="131" spans="1:15">
      <c r="A131" s="206"/>
      <c r="B131" s="105" t="s">
        <v>21</v>
      </c>
      <c r="C131" s="116">
        <f>HLOOKUP(C$117,$86:$102,15,FALSE)</f>
        <v>89.734262000000001</v>
      </c>
      <c r="D131" s="116">
        <f t="shared" ref="D131:O131" si="19">HLOOKUP(D$117,$86:$102,15,FALSE)</f>
        <v>82.194308000000007</v>
      </c>
      <c r="E131" s="116">
        <f t="shared" si="19"/>
        <v>98.033413999999993</v>
      </c>
      <c r="F131" s="116">
        <f t="shared" si="19"/>
        <v>118.762416</v>
      </c>
      <c r="G131" s="116">
        <f t="shared" si="19"/>
        <v>124.350134</v>
      </c>
      <c r="H131" s="116">
        <f t="shared" si="19"/>
        <v>168.54782399999999</v>
      </c>
      <c r="I131" s="116">
        <f t="shared" si="19"/>
        <v>175.00929099999999</v>
      </c>
      <c r="J131" s="116">
        <f t="shared" si="19"/>
        <v>130.854702</v>
      </c>
      <c r="K131" s="116">
        <f t="shared" si="19"/>
        <v>131.44748999999999</v>
      </c>
      <c r="L131" s="116">
        <f t="shared" si="19"/>
        <v>70.767787999999996</v>
      </c>
      <c r="M131" s="116">
        <f t="shared" si="19"/>
        <v>112.440268</v>
      </c>
      <c r="N131" s="116">
        <f t="shared" si="19"/>
        <v>122.760274</v>
      </c>
      <c r="O131" s="116">
        <f t="shared" si="19"/>
        <v>114.74408200000001</v>
      </c>
    </row>
    <row r="132" spans="1:15">
      <c r="A132" s="206"/>
      <c r="B132" s="117" t="s">
        <v>1</v>
      </c>
      <c r="C132" s="118">
        <f>HLOOKUP(C$117,$86:$102,16,FALSE)</f>
        <v>432.34588400000001</v>
      </c>
      <c r="D132" s="118">
        <f t="shared" ref="D132:O132" si="20">HLOOKUP(D$117,$86:$102,16,FALSE)</f>
        <v>414.65085800000003</v>
      </c>
      <c r="E132" s="118">
        <f t="shared" si="20"/>
        <v>405.72505100000001</v>
      </c>
      <c r="F132" s="118">
        <f t="shared" si="20"/>
        <v>459.64886999999999</v>
      </c>
      <c r="G132" s="118">
        <f t="shared" si="20"/>
        <v>545.82672000000002</v>
      </c>
      <c r="H132" s="118">
        <f t="shared" si="20"/>
        <v>734.33716800000002</v>
      </c>
      <c r="I132" s="118">
        <f t="shared" si="20"/>
        <v>704.35276699999997</v>
      </c>
      <c r="J132" s="118">
        <f t="shared" si="20"/>
        <v>565.92402200000004</v>
      </c>
      <c r="K132" s="118">
        <f t="shared" si="20"/>
        <v>495.03745900000001</v>
      </c>
      <c r="L132" s="118">
        <f t="shared" si="20"/>
        <v>372.78169400000002</v>
      </c>
      <c r="M132" s="118">
        <f t="shared" si="20"/>
        <v>417.57750800000002</v>
      </c>
      <c r="N132" s="118">
        <f t="shared" si="20"/>
        <v>445.29628200000002</v>
      </c>
      <c r="O132" s="118">
        <f t="shared" si="20"/>
        <v>406.18226900000002</v>
      </c>
    </row>
    <row r="133" spans="1:15" ht="14.25">
      <c r="A133" s="207"/>
      <c r="B133" s="126" t="s">
        <v>75</v>
      </c>
      <c r="C133" s="127">
        <f>C120+C121+C123</f>
        <v>47.337153999999998</v>
      </c>
      <c r="D133" s="127">
        <f>D120+D121+D123</f>
        <v>40.752212</v>
      </c>
      <c r="E133" s="127">
        <f t="shared" ref="E133:O133" si="21">E120+E121+E123</f>
        <v>36.577028999999996</v>
      </c>
      <c r="F133" s="127">
        <f t="shared" si="21"/>
        <v>47.925082000000003</v>
      </c>
      <c r="G133" s="127">
        <f t="shared" si="21"/>
        <v>77.204378999999989</v>
      </c>
      <c r="H133" s="127">
        <f t="shared" si="21"/>
        <v>124.68270699999999</v>
      </c>
      <c r="I133" s="127">
        <f t="shared" si="21"/>
        <v>118.33977300000001</v>
      </c>
      <c r="J133" s="127">
        <f t="shared" si="21"/>
        <v>82.054295999999994</v>
      </c>
      <c r="K133" s="127">
        <f t="shared" si="21"/>
        <v>61.254111000000002</v>
      </c>
      <c r="L133" s="127">
        <f t="shared" si="21"/>
        <v>30.185099999999998</v>
      </c>
      <c r="M133" s="127">
        <f t="shared" si="21"/>
        <v>28.263148000000001</v>
      </c>
      <c r="N133" s="127">
        <f t="shared" si="21"/>
        <v>30.443576</v>
      </c>
      <c r="O133" s="127">
        <f t="shared" si="21"/>
        <v>28.621776999999998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feb.-23</v>
      </c>
      <c r="D134" s="111" t="str">
        <f>TEXT(EDATE($A$2,-11),"mmm")&amp;".-"&amp;TEXT(EDATE($A$2,-11),"aa")</f>
        <v>mar.-23</v>
      </c>
      <c r="E134" s="111" t="str">
        <f>TEXT(EDATE($A$2,-10),"mmm")&amp;".-"&amp;TEXT(EDATE($A$2,-10),"aa")</f>
        <v>abr.-23</v>
      </c>
      <c r="F134" s="111" t="str">
        <f>TEXT(EDATE($A$2,-9),"mmm")&amp;".-"&amp;TEXT(EDATE($A$2,-9),"aa")</f>
        <v>may.-23</v>
      </c>
      <c r="G134" s="111" t="str">
        <f>TEXT(EDATE($A$2,-8),"mmm")&amp;".-"&amp;TEXT(EDATE($A$2,-8),"aa")</f>
        <v>jun.-23</v>
      </c>
      <c r="H134" s="111" t="str">
        <f>TEXT(EDATE($A$2,-7),"mmm")&amp;".-"&amp;TEXT(EDATE($A$2,-7),"aa")</f>
        <v>jul.-23</v>
      </c>
      <c r="I134" s="111" t="str">
        <f>TEXT(EDATE($A$2,-6),"mmm")&amp;".-"&amp;TEXT(EDATE($A$2,-6),"aa")</f>
        <v>ago.-23</v>
      </c>
      <c r="J134" s="111" t="str">
        <f>TEXT(EDATE($A$2,-5),"mmm")&amp;".-"&amp;TEXT(EDATE($A$2,-5),"aa")</f>
        <v>sep.-23</v>
      </c>
      <c r="K134" s="111" t="str">
        <f>TEXT(EDATE($A$2,-4),"mmm")&amp;".-"&amp;TEXT(EDATE($A$2,-4),"aa")</f>
        <v>oct.-23</v>
      </c>
      <c r="L134" s="111" t="str">
        <f>TEXT(EDATE($A$2,-3),"mmm")&amp;".-"&amp;TEXT(EDATE($A$2,-3),"aa")</f>
        <v>nov.-23</v>
      </c>
      <c r="M134" s="111" t="str">
        <f>TEXT(EDATE($A$2,-2),"mmm")&amp;".-"&amp;TEXT(EDATE($A$2,-2),"aa")</f>
        <v>dic.-23</v>
      </c>
      <c r="N134" s="111" t="str">
        <f>TEXT(EDATE($A$2,-1),"mmm")&amp;".-"&amp;TEXT(EDATE($A$2,-1),"aa")</f>
        <v>ene.-24</v>
      </c>
      <c r="O134" s="112" t="str">
        <f>TEXT($A$2,"mmm")&amp;".-"&amp;TEXT($A$2,"aa")</f>
        <v>feb.-24</v>
      </c>
    </row>
    <row r="135" spans="1:15" ht="15" customHeight="1">
      <c r="A135" s="206"/>
      <c r="B135" s="105" t="s">
        <v>12</v>
      </c>
      <c r="C135" s="107">
        <f>HLOOKUP(C$117,$86:$115,17,FALSE)</f>
        <v>0.25442500000000001</v>
      </c>
      <c r="D135" s="107">
        <f t="shared" ref="D135:N135" si="22">HLOOKUP(D$117,$86:$115,17,FALSE)</f>
        <v>0.28212599999999999</v>
      </c>
      <c r="E135" s="107">
        <f t="shared" si="22"/>
        <v>0.27610800000000002</v>
      </c>
      <c r="F135" s="107">
        <f t="shared" si="22"/>
        <v>0.29790899999999998</v>
      </c>
      <c r="G135" s="107">
        <f t="shared" si="22"/>
        <v>0.28383700000000001</v>
      </c>
      <c r="H135" s="107">
        <f t="shared" si="22"/>
        <v>0.30198999999999998</v>
      </c>
      <c r="I135" s="107">
        <f t="shared" si="22"/>
        <v>0.28963</v>
      </c>
      <c r="J135" s="107">
        <f t="shared" si="22"/>
        <v>0.28927700000000001</v>
      </c>
      <c r="K135" s="107">
        <f t="shared" si="22"/>
        <v>0.30293500000000001</v>
      </c>
      <c r="L135" s="107">
        <f t="shared" si="22"/>
        <v>0.28046900000000002</v>
      </c>
      <c r="M135" s="107">
        <f t="shared" si="22"/>
        <v>0.30561100000000002</v>
      </c>
      <c r="N135" s="107">
        <f t="shared" si="22"/>
        <v>0.29624200000000001</v>
      </c>
      <c r="O135" s="144">
        <f>HLOOKUP(O$117,$86:$115,17,FALSE)</f>
        <v>0.28508299999999998</v>
      </c>
    </row>
    <row r="136" spans="1:15">
      <c r="A136" s="206"/>
      <c r="B136" s="105" t="s">
        <v>10</v>
      </c>
      <c r="C136" s="107">
        <f>HLOOKUP(C$117,$86:$115,18,FALSE)+HLOOKUP(C$117,$86:$115,22,FALSE)</f>
        <v>151.16905</v>
      </c>
      <c r="D136" s="107">
        <f>HLOOKUP(D$117,$86:$115,18,FALSE)+HLOOKUP(D$117,$86:$115,22,FALSE)</f>
        <v>141.34883499999998</v>
      </c>
      <c r="E136" s="107">
        <f t="shared" ref="E136:N136" si="23">HLOOKUP(E$117,$86:$115,18,FALSE)+HLOOKUP(E$117,$86:$115,22,FALSE)</f>
        <v>149.84285</v>
      </c>
      <c r="F136" s="107">
        <f t="shared" si="23"/>
        <v>152.65936299999998</v>
      </c>
      <c r="G136" s="107">
        <f t="shared" si="23"/>
        <v>159.42586699999998</v>
      </c>
      <c r="H136" s="107">
        <f t="shared" si="23"/>
        <v>147.371253</v>
      </c>
      <c r="I136" s="107">
        <f t="shared" si="23"/>
        <v>158.13818499999999</v>
      </c>
      <c r="J136" s="107">
        <f t="shared" si="23"/>
        <v>154.76962499999999</v>
      </c>
      <c r="K136" s="107">
        <f t="shared" si="23"/>
        <v>179.46748099999999</v>
      </c>
      <c r="L136" s="107">
        <f t="shared" si="23"/>
        <v>168.212242</v>
      </c>
      <c r="M136" s="107">
        <f t="shared" si="23"/>
        <v>171.03556599999999</v>
      </c>
      <c r="N136" s="107">
        <f t="shared" si="23"/>
        <v>166.77709300000001</v>
      </c>
      <c r="O136" s="124">
        <f>HLOOKUP(O$117,$86:$115,18,FALSE)+HLOOKUP(O$117,$86:$115,22,FALSE)</f>
        <v>147.631508</v>
      </c>
    </row>
    <row r="137" spans="1:15">
      <c r="A137" s="206"/>
      <c r="B137" s="105" t="s">
        <v>9</v>
      </c>
      <c r="C137" s="107">
        <f>HLOOKUP(C$117,$86:$115,19,FALSE)</f>
        <v>26.990496</v>
      </c>
      <c r="D137" s="107">
        <f t="shared" ref="D137:O137" si="24">HLOOKUP(D$117,$86:$115,19,FALSE)</f>
        <v>16.813075000000001</v>
      </c>
      <c r="E137" s="107">
        <f t="shared" si="24"/>
        <v>21.092299000000001</v>
      </c>
      <c r="F137" s="107">
        <f t="shared" si="24"/>
        <v>23.467611000000002</v>
      </c>
      <c r="G137" s="107">
        <f t="shared" si="24"/>
        <v>20.997603000000002</v>
      </c>
      <c r="H137" s="107">
        <f t="shared" si="24"/>
        <v>15.379733999999999</v>
      </c>
      <c r="I137" s="107">
        <f t="shared" si="24"/>
        <v>16.795183000000002</v>
      </c>
      <c r="J137" s="107">
        <f t="shared" si="24"/>
        <v>18.188441000000001</v>
      </c>
      <c r="K137" s="107">
        <f t="shared" si="24"/>
        <v>30.707764999999998</v>
      </c>
      <c r="L137" s="107">
        <f t="shared" si="24"/>
        <v>24.331886999999998</v>
      </c>
      <c r="M137" s="107">
        <f t="shared" si="24"/>
        <v>26.447642999999999</v>
      </c>
      <c r="N137" s="107">
        <f t="shared" si="24"/>
        <v>28.032011000000001</v>
      </c>
      <c r="O137" s="124">
        <f t="shared" si="24"/>
        <v>23.301410000000001</v>
      </c>
    </row>
    <row r="138" spans="1:15">
      <c r="A138" s="206"/>
      <c r="B138" s="105" t="s">
        <v>8</v>
      </c>
      <c r="C138" s="107">
        <f>HLOOKUP(C$117,$86:$115,20,FALSE)</f>
        <v>118.052049</v>
      </c>
      <c r="D138" s="107">
        <f t="shared" ref="D138:O138" si="25">HLOOKUP(D$117,$86:$115,20,FALSE)</f>
        <v>103.679242</v>
      </c>
      <c r="E138" s="107">
        <f t="shared" si="25"/>
        <v>89.164951000000002</v>
      </c>
      <c r="F138" s="107">
        <f t="shared" si="25"/>
        <v>84.880949000000001</v>
      </c>
      <c r="G138" s="107">
        <f t="shared" si="25"/>
        <v>84.905440999999996</v>
      </c>
      <c r="H138" s="107">
        <f t="shared" si="25"/>
        <v>101.065799</v>
      </c>
      <c r="I138" s="107">
        <f t="shared" si="25"/>
        <v>105.31614999999999</v>
      </c>
      <c r="J138" s="107">
        <f t="shared" si="25"/>
        <v>105.510948</v>
      </c>
      <c r="K138" s="107">
        <f t="shared" si="25"/>
        <v>119.677701</v>
      </c>
      <c r="L138" s="107">
        <f t="shared" si="25"/>
        <v>90.916317000000006</v>
      </c>
      <c r="M138" s="107">
        <f t="shared" si="25"/>
        <v>96.450059999999993</v>
      </c>
      <c r="N138" s="107">
        <f t="shared" si="25"/>
        <v>118.36447</v>
      </c>
      <c r="O138" s="124">
        <f t="shared" si="25"/>
        <v>100.186932</v>
      </c>
    </row>
    <row r="139" spans="1:15" ht="14.25">
      <c r="A139" s="206"/>
      <c r="B139" s="105" t="s">
        <v>74</v>
      </c>
      <c r="C139" s="107">
        <f>HLOOKUP(C$117,$86:$115,21,FALSE)</f>
        <v>289.33312999999998</v>
      </c>
      <c r="D139" s="107">
        <f t="shared" ref="D139:O139" si="26">HLOOKUP(D$117,$86:$115,21,FALSE)</f>
        <v>284.83144399999998</v>
      </c>
      <c r="E139" s="107">
        <f t="shared" si="26"/>
        <v>279.54366599999997</v>
      </c>
      <c r="F139" s="107">
        <f t="shared" si="26"/>
        <v>275.34098399999999</v>
      </c>
      <c r="G139" s="107">
        <f t="shared" si="26"/>
        <v>351.45923099999999</v>
      </c>
      <c r="H139" s="107">
        <f t="shared" si="26"/>
        <v>250.52108799999999</v>
      </c>
      <c r="I139" s="107">
        <f t="shared" si="26"/>
        <v>306.93109600000003</v>
      </c>
      <c r="J139" s="107">
        <f t="shared" si="26"/>
        <v>329.65078499999998</v>
      </c>
      <c r="K139" s="107">
        <f t="shared" si="26"/>
        <v>385.37423100000001</v>
      </c>
      <c r="L139" s="107">
        <f t="shared" si="26"/>
        <v>320.60776499999997</v>
      </c>
      <c r="M139" s="107">
        <f t="shared" si="26"/>
        <v>343.70541600000001</v>
      </c>
      <c r="N139" s="107">
        <f t="shared" si="26"/>
        <v>348.60822999999999</v>
      </c>
      <c r="O139" s="124">
        <f t="shared" si="26"/>
        <v>282.95672999999999</v>
      </c>
    </row>
    <row r="140" spans="1:15">
      <c r="A140" s="206"/>
      <c r="B140" s="105" t="s">
        <v>6</v>
      </c>
      <c r="C140" s="107">
        <f>HLOOKUP(C$117,$86:$115,23,FALSE)</f>
        <v>0.82934099999999999</v>
      </c>
      <c r="D140" s="107">
        <f t="shared" ref="D140:O140" si="27">HLOOKUP(D$117,$86:$115,23,FALSE)</f>
        <v>1.5724450000000001</v>
      </c>
      <c r="E140" s="107">
        <f t="shared" si="27"/>
        <v>1.573337</v>
      </c>
      <c r="F140" s="107">
        <f t="shared" si="27"/>
        <v>2.0671949999999999</v>
      </c>
      <c r="G140" s="107">
        <f t="shared" si="27"/>
        <v>0.80873799999999996</v>
      </c>
      <c r="H140" s="107">
        <f t="shared" si="27"/>
        <v>2.7590569999999999</v>
      </c>
      <c r="I140" s="107">
        <f t="shared" si="27"/>
        <v>2.6998280000000001</v>
      </c>
      <c r="J140" s="107">
        <f t="shared" si="27"/>
        <v>1.3149919999999999</v>
      </c>
      <c r="K140" s="107">
        <f t="shared" si="27"/>
        <v>0.44324000000000002</v>
      </c>
      <c r="L140" s="107">
        <f t="shared" si="27"/>
        <v>1.0899650000000001</v>
      </c>
      <c r="M140" s="107">
        <f t="shared" si="27"/>
        <v>0.66913</v>
      </c>
      <c r="N140" s="107">
        <f t="shared" si="27"/>
        <v>0.66808100000000004</v>
      </c>
      <c r="O140" s="124">
        <f t="shared" si="27"/>
        <v>1.414679</v>
      </c>
    </row>
    <row r="141" spans="1:15">
      <c r="A141" s="206"/>
      <c r="B141" s="105" t="s">
        <v>5</v>
      </c>
      <c r="C141" s="107">
        <f>HLOOKUP(C$117,$86:$115,24,FALSE)</f>
        <v>42.67051</v>
      </c>
      <c r="D141" s="107">
        <f t="shared" ref="D141:O141" si="28">HLOOKUP(D$117,$86:$115,24,FALSE)</f>
        <v>130.23741999999999</v>
      </c>
      <c r="E141" s="107">
        <f t="shared" si="28"/>
        <v>103.685765</v>
      </c>
      <c r="F141" s="107">
        <f t="shared" si="28"/>
        <v>131.84913700000001</v>
      </c>
      <c r="G141" s="107">
        <f t="shared" si="28"/>
        <v>63.874986999999997</v>
      </c>
      <c r="H141" s="107">
        <f t="shared" si="28"/>
        <v>209.60142099999999</v>
      </c>
      <c r="I141" s="107">
        <f t="shared" si="28"/>
        <v>178.40248800000001</v>
      </c>
      <c r="J141" s="107">
        <f t="shared" si="28"/>
        <v>103.232878</v>
      </c>
      <c r="K141" s="107">
        <f t="shared" si="28"/>
        <v>57.758575</v>
      </c>
      <c r="L141" s="107">
        <f t="shared" si="28"/>
        <v>99.872924999999995</v>
      </c>
      <c r="M141" s="107">
        <f t="shared" si="28"/>
        <v>70.816050000000004</v>
      </c>
      <c r="N141" s="107">
        <f t="shared" si="28"/>
        <v>53.196173999999999</v>
      </c>
      <c r="O141" s="124">
        <f t="shared" si="28"/>
        <v>108.558363</v>
      </c>
    </row>
    <row r="142" spans="1:15">
      <c r="A142" s="206"/>
      <c r="B142" s="105" t="s">
        <v>4</v>
      </c>
      <c r="C142" s="107">
        <f>HLOOKUP(C$117,$86:$115,25,FALSE)</f>
        <v>20.382895000000001</v>
      </c>
      <c r="D142" s="107">
        <f t="shared" ref="D142:O142" si="29">HLOOKUP(D$117,$86:$115,25,FALSE)</f>
        <v>32.428702000000001</v>
      </c>
      <c r="E142" s="107">
        <f t="shared" si="29"/>
        <v>30.033574000000002</v>
      </c>
      <c r="F142" s="107">
        <f t="shared" si="29"/>
        <v>30.564440999999999</v>
      </c>
      <c r="G142" s="107">
        <f t="shared" si="29"/>
        <v>30.691880000000001</v>
      </c>
      <c r="H142" s="107">
        <f t="shared" si="29"/>
        <v>35.002752999999998</v>
      </c>
      <c r="I142" s="107">
        <f t="shared" si="29"/>
        <v>33.602015999999999</v>
      </c>
      <c r="J142" s="107">
        <f t="shared" si="29"/>
        <v>31.322213000000001</v>
      </c>
      <c r="K142" s="107">
        <f t="shared" si="29"/>
        <v>29.6997</v>
      </c>
      <c r="L142" s="107">
        <f t="shared" si="29"/>
        <v>24.842165000000001</v>
      </c>
      <c r="M142" s="107">
        <f t="shared" si="29"/>
        <v>23.549019999999999</v>
      </c>
      <c r="N142" s="107">
        <f t="shared" si="29"/>
        <v>24.433125</v>
      </c>
      <c r="O142" s="124">
        <f t="shared" si="29"/>
        <v>26.103355000000001</v>
      </c>
    </row>
    <row r="143" spans="1:15">
      <c r="A143" s="206"/>
      <c r="B143" s="105" t="s">
        <v>22</v>
      </c>
      <c r="C143" s="107">
        <f>HLOOKUP(C$117,$86:$115,26,FALSE)</f>
        <v>0.71108700000000002</v>
      </c>
      <c r="D143" s="107">
        <f t="shared" ref="D143:O143" si="30">HLOOKUP(D$117,$86:$115,26,FALSE)</f>
        <v>0.73842799999999997</v>
      </c>
      <c r="E143" s="107">
        <f t="shared" si="30"/>
        <v>0.63095199999999996</v>
      </c>
      <c r="F143" s="107">
        <f t="shared" si="30"/>
        <v>0.65055600000000002</v>
      </c>
      <c r="G143" s="107">
        <f t="shared" si="30"/>
        <v>0.66513100000000003</v>
      </c>
      <c r="H143" s="107">
        <f t="shared" si="30"/>
        <v>0.64607300000000001</v>
      </c>
      <c r="I143" s="107">
        <f t="shared" si="30"/>
        <v>0.37482700000000002</v>
      </c>
      <c r="J143" s="107">
        <f t="shared" si="30"/>
        <v>0.37211699999999998</v>
      </c>
      <c r="K143" s="107">
        <f t="shared" si="30"/>
        <v>0.52430399999999999</v>
      </c>
      <c r="L143" s="107">
        <f t="shared" si="30"/>
        <v>0.42454199999999997</v>
      </c>
      <c r="M143" s="107">
        <f t="shared" si="30"/>
        <v>0.44537900000000002</v>
      </c>
      <c r="N143" s="107">
        <f t="shared" si="30"/>
        <v>0.50013399999999997</v>
      </c>
      <c r="O143" s="124">
        <f t="shared" si="30"/>
        <v>0.49944300000000003</v>
      </c>
    </row>
    <row r="144" spans="1:15">
      <c r="A144" s="206"/>
      <c r="B144" s="117" t="s">
        <v>1</v>
      </c>
      <c r="C144" s="118">
        <f>HLOOKUP(C$117,$86:$115,28,FALSE)</f>
        <v>650.39298299999996</v>
      </c>
      <c r="D144" s="118">
        <f t="shared" ref="D144:O144" si="31">HLOOKUP(D$117,$86:$115,28,FALSE)</f>
        <v>711.93171700000005</v>
      </c>
      <c r="E144" s="118">
        <f t="shared" si="31"/>
        <v>675.84350199999994</v>
      </c>
      <c r="F144" s="118">
        <f t="shared" si="31"/>
        <v>701.77814499999999</v>
      </c>
      <c r="G144" s="118">
        <f t="shared" si="31"/>
        <v>713.11271499999998</v>
      </c>
      <c r="H144" s="118">
        <f t="shared" si="31"/>
        <v>762.64916800000003</v>
      </c>
      <c r="I144" s="118">
        <f t="shared" si="31"/>
        <v>802.54940299999998</v>
      </c>
      <c r="J144" s="118">
        <f t="shared" si="31"/>
        <v>744.65127600000005</v>
      </c>
      <c r="K144" s="118">
        <f t="shared" si="31"/>
        <v>803.95593199999996</v>
      </c>
      <c r="L144" s="118">
        <f t="shared" si="31"/>
        <v>730.57827699999996</v>
      </c>
      <c r="M144" s="118">
        <f t="shared" si="31"/>
        <v>733.42387499999995</v>
      </c>
      <c r="N144" s="118">
        <f t="shared" si="31"/>
        <v>740.87555999999995</v>
      </c>
      <c r="O144" s="118">
        <f t="shared" si="31"/>
        <v>690.93750299999999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296.21159499999999</v>
      </c>
      <c r="D146" s="130">
        <f t="shared" ref="D146:N146" si="32">SUM(D136:D138)</f>
        <v>261.84115199999997</v>
      </c>
      <c r="E146" s="130">
        <f t="shared" si="32"/>
        <v>260.1001</v>
      </c>
      <c r="F146" s="130">
        <f t="shared" si="32"/>
        <v>261.00792300000001</v>
      </c>
      <c r="G146" s="130">
        <f t="shared" si="32"/>
        <v>265.32891099999995</v>
      </c>
      <c r="H146" s="130">
        <f t="shared" si="32"/>
        <v>263.81678599999998</v>
      </c>
      <c r="I146" s="130">
        <f t="shared" si="32"/>
        <v>280.24951799999997</v>
      </c>
      <c r="J146" s="130">
        <f t="shared" si="32"/>
        <v>278.46901400000002</v>
      </c>
      <c r="K146" s="130">
        <f t="shared" si="32"/>
        <v>329.85294699999997</v>
      </c>
      <c r="L146" s="130">
        <f t="shared" si="32"/>
        <v>283.46044599999999</v>
      </c>
      <c r="M146" s="130">
        <f t="shared" si="32"/>
        <v>293.933269</v>
      </c>
      <c r="N146" s="130">
        <f t="shared" si="32"/>
        <v>313.17357400000003</v>
      </c>
      <c r="O146" s="131">
        <f>SUM(O136:O138)</f>
        <v>271.11984999999999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3" t="s">
        <v>90</v>
      </c>
      <c r="D150" s="183" t="s">
        <v>91</v>
      </c>
      <c r="E150" s="183" t="s">
        <v>92</v>
      </c>
      <c r="F150" s="183" t="s">
        <v>93</v>
      </c>
      <c r="G150" s="183" t="s">
        <v>94</v>
      </c>
      <c r="H150" s="183" t="s">
        <v>95</v>
      </c>
      <c r="I150" s="183" t="s">
        <v>96</v>
      </c>
      <c r="J150" s="183" t="s">
        <v>97</v>
      </c>
      <c r="K150" s="183" t="s">
        <v>98</v>
      </c>
      <c r="L150" s="183" t="s">
        <v>99</v>
      </c>
      <c r="M150" s="183" t="s">
        <v>100</v>
      </c>
      <c r="N150" s="183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119</v>
      </c>
      <c r="B152" s="159" t="s">
        <v>120</v>
      </c>
      <c r="C152" s="175">
        <v>-6.0519999999999997E-2</v>
      </c>
      <c r="D152" s="175">
        <v>7.6999999999999996E-4</v>
      </c>
      <c r="E152" s="175">
        <v>-6.88E-2</v>
      </c>
      <c r="F152" s="175">
        <v>7.5100000000000002E-3</v>
      </c>
      <c r="G152" s="175">
        <v>-3.5619999999999999E-2</v>
      </c>
      <c r="H152" s="175">
        <v>-1.17E-3</v>
      </c>
      <c r="I152" s="175">
        <v>-5.6680000000000001E-2</v>
      </c>
      <c r="J152" s="175">
        <v>2.223E-2</v>
      </c>
      <c r="K152" s="175">
        <v>-1.5699999999999999E-2</v>
      </c>
      <c r="L152" s="175">
        <v>-5.5000000000000003E-4</v>
      </c>
      <c r="M152" s="175">
        <v>-3.9699999999999996E-3</v>
      </c>
      <c r="N152" s="175">
        <v>-1.1180000000000001E-2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3" t="s">
        <v>90</v>
      </c>
      <c r="D156" s="183" t="s">
        <v>91</v>
      </c>
      <c r="E156" s="183" t="s">
        <v>92</v>
      </c>
      <c r="F156" s="183" t="s">
        <v>93</v>
      </c>
      <c r="G156" s="183" t="s">
        <v>94</v>
      </c>
      <c r="H156" s="183" t="s">
        <v>95</v>
      </c>
      <c r="I156" s="183" t="s">
        <v>96</v>
      </c>
      <c r="J156" s="183" t="s">
        <v>97</v>
      </c>
      <c r="K156" s="183" t="s">
        <v>98</v>
      </c>
      <c r="L156" s="183" t="s">
        <v>99</v>
      </c>
      <c r="M156" s="183" t="s">
        <v>100</v>
      </c>
      <c r="N156" s="183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119</v>
      </c>
      <c r="B158" s="159" t="s">
        <v>120</v>
      </c>
      <c r="C158" s="175">
        <v>6.234E-2</v>
      </c>
      <c r="D158" s="175">
        <v>1.24E-3</v>
      </c>
      <c r="E158" s="175">
        <v>-3.4399999999999999E-3</v>
      </c>
      <c r="F158" s="175">
        <v>6.454E-2</v>
      </c>
      <c r="G158" s="175">
        <v>4.5260000000000002E-2</v>
      </c>
      <c r="H158" s="175">
        <v>2.1700000000000001E-3</v>
      </c>
      <c r="I158" s="175">
        <v>-2.5799999999999998E-3</v>
      </c>
      <c r="J158" s="175">
        <v>4.5670000000000002E-2</v>
      </c>
      <c r="K158" s="175">
        <v>3.1519999999999999E-2</v>
      </c>
      <c r="L158" s="175">
        <v>7.1000000000000002E-4</v>
      </c>
      <c r="M158" s="175">
        <v>2.1800000000000001E-3</v>
      </c>
      <c r="N158" s="175">
        <v>2.8629999999999999E-2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Q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Febrero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Febrero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72" t="str">
        <f>G8</f>
        <v>% 24/23</v>
      </c>
      <c r="J8" s="71" t="s">
        <v>13</v>
      </c>
      <c r="K8" s="72" t="str">
        <f>G8</f>
        <v>% 24/23</v>
      </c>
    </row>
    <row r="9" spans="3:12">
      <c r="C9" s="73"/>
      <c r="E9" s="74" t="s">
        <v>39</v>
      </c>
      <c r="F9" s="75">
        <f>Dat_01!R24/1000</f>
        <v>406.18226899999996</v>
      </c>
      <c r="G9" s="147">
        <f>Dat_01!T24*100</f>
        <v>-6.0515471500000002</v>
      </c>
      <c r="H9" s="75">
        <f>Dat_01!U24/1000</f>
        <v>851.47855099999992</v>
      </c>
      <c r="I9" s="147">
        <f>Dat_01!W24*100</f>
        <v>-3.5617883400000001</v>
      </c>
      <c r="J9" s="75">
        <f>Dat_01!X24/1000</f>
        <v>5967.3406679999998</v>
      </c>
      <c r="K9" s="147">
        <f>Dat_01!Y24*100</f>
        <v>-1.5703127099999998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7.6999999999999999E-2</v>
      </c>
      <c r="H12" s="94"/>
      <c r="I12" s="94">
        <f>Dat_01!H152*100</f>
        <v>-0.11700000000000001</v>
      </c>
      <c r="J12" s="94"/>
      <c r="K12" s="94">
        <f>Dat_01!L152*100</f>
        <v>-5.5E-2</v>
      </c>
    </row>
    <row r="13" spans="3:12">
      <c r="E13" s="77" t="s">
        <v>42</v>
      </c>
      <c r="F13" s="76"/>
      <c r="G13" s="94">
        <f>Dat_01!E152*100</f>
        <v>-6.88</v>
      </c>
      <c r="H13" s="94"/>
      <c r="I13" s="94">
        <f>Dat_01!I152*100</f>
        <v>-5.6680000000000001</v>
      </c>
      <c r="J13" s="94"/>
      <c r="K13" s="94">
        <f>Dat_01!M152*100</f>
        <v>-0.39699999999999996</v>
      </c>
    </row>
    <row r="14" spans="3:12">
      <c r="E14" s="78" t="s">
        <v>43</v>
      </c>
      <c r="F14" s="79"/>
      <c r="G14" s="95">
        <f>Dat_01!F152*100</f>
        <v>0.751</v>
      </c>
      <c r="H14" s="95"/>
      <c r="I14" s="95">
        <f>Dat_01!J152*100</f>
        <v>2.2229999999999999</v>
      </c>
      <c r="J14" s="95"/>
      <c r="K14" s="95">
        <f>Dat_01!N152*100</f>
        <v>-1.1180000000000001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Febrero 2024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Febrero 2024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24/23</v>
      </c>
      <c r="H8" s="71" t="s">
        <v>13</v>
      </c>
      <c r="I8" s="98" t="str">
        <f>G8</f>
        <v>% 24/23</v>
      </c>
      <c r="J8" s="71" t="s">
        <v>13</v>
      </c>
      <c r="K8" s="98" t="str">
        <f>G8</f>
        <v>% 24/23</v>
      </c>
    </row>
    <row r="9" spans="3:12">
      <c r="C9" s="73"/>
      <c r="E9" s="74" t="s">
        <v>39</v>
      </c>
      <c r="F9" s="75">
        <f>Dat_01!Z24/1000</f>
        <v>690.93750299999999</v>
      </c>
      <c r="G9" s="147">
        <f>Dat_01!AB24*100</f>
        <v>6.2338495399999996</v>
      </c>
      <c r="H9" s="75">
        <f>Dat_01!AC24/1000</f>
        <v>1431.8130630000001</v>
      </c>
      <c r="I9" s="147">
        <f>Dat_01!AE24*100</f>
        <v>4.5261207800000003</v>
      </c>
      <c r="J9" s="75">
        <f>Dat_01!AF24/1000</f>
        <v>8812.2870730000013</v>
      </c>
      <c r="K9" s="147">
        <f>Dat_01!AG24*100</f>
        <v>3.1517491199999998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0.124</v>
      </c>
      <c r="H12" s="94"/>
      <c r="I12" s="94">
        <f>Dat_01!H158*100</f>
        <v>0.217</v>
      </c>
      <c r="J12" s="94"/>
      <c r="K12" s="94">
        <f>Dat_01!L158*100</f>
        <v>7.1000000000000008E-2</v>
      </c>
    </row>
    <row r="13" spans="3:12">
      <c r="E13" s="77" t="s">
        <v>42</v>
      </c>
      <c r="F13" s="76"/>
      <c r="G13" s="94">
        <f>Dat_01!E158*100</f>
        <v>-0.34399999999999997</v>
      </c>
      <c r="H13" s="94"/>
      <c r="I13" s="94">
        <f>Dat_01!I158*100</f>
        <v>-0.25800000000000001</v>
      </c>
      <c r="J13" s="94"/>
      <c r="K13" s="94">
        <f>Dat_01!M158*100</f>
        <v>0.218</v>
      </c>
    </row>
    <row r="14" spans="3:12">
      <c r="E14" s="78" t="s">
        <v>43</v>
      </c>
      <c r="F14" s="79"/>
      <c r="G14" s="95">
        <f>Dat_01!F158*100</f>
        <v>6.4539999999999997</v>
      </c>
      <c r="H14" s="95"/>
      <c r="I14" s="95">
        <f>Dat_01!J158*100</f>
        <v>4.5670000000000002</v>
      </c>
      <c r="J14" s="95"/>
      <c r="K14" s="95">
        <f>Dat_01!N158*100</f>
        <v>2.863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126</v>
      </c>
    </row>
    <row r="2" spans="1:2">
      <c r="A2" t="s">
        <v>121</v>
      </c>
    </row>
    <row r="3" spans="1:2">
      <c r="A3" t="s">
        <v>123</v>
      </c>
    </row>
    <row r="4" spans="1:2">
      <c r="A4" t="s">
        <v>124</v>
      </c>
    </row>
    <row r="5" spans="1:2">
      <c r="A5" t="s">
        <v>125</v>
      </c>
    </row>
    <row r="6" spans="1:2">
      <c r="A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topLeftCell="A5" zoomScaleNormal="100" workbookViewId="0">
      <selection activeCell="B5" sqref="B5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Febrero 2024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24/23</v>
      </c>
      <c r="H8" s="24" t="s">
        <v>13</v>
      </c>
      <c r="I8" s="96" t="str">
        <f>G8</f>
        <v>% 24/23</v>
      </c>
      <c r="J8" s="24" t="s">
        <v>13</v>
      </c>
      <c r="K8" s="96" t="str">
        <f>I8</f>
        <v>% 24/23</v>
      </c>
      <c r="L8" s="24" t="s">
        <v>13</v>
      </c>
      <c r="M8" s="96" t="str">
        <f>K8</f>
        <v>% 24/23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0.28508300000000003</v>
      </c>
      <c r="I9" s="14">
        <f>IF(Dat_01!AB8*100=-100,"-",Dat_01!AB8*100)</f>
        <v>12.04991648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1.414679</v>
      </c>
      <c r="I10" s="14">
        <f>Dat_01!AB15*100</f>
        <v>70.578688380000003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38">
        <f>Dat_01!R16/1000</f>
        <v>0</v>
      </c>
      <c r="G11" s="14" t="str">
        <f>IF(Dat_01!R16=0,"-",Dat_01!T16*100)</f>
        <v>-</v>
      </c>
      <c r="H11" s="138">
        <f>Dat_01!Z16/1000</f>
        <v>108.558363</v>
      </c>
      <c r="I11" s="14">
        <f>Dat_01!AB16*100</f>
        <v>154.41074644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29.999758</v>
      </c>
      <c r="G12" s="14">
        <f>Dat_01!T17*100</f>
        <v>33.371635009999999</v>
      </c>
      <c r="H12" s="138">
        <f>Dat_01!Z17/1000</f>
        <v>26.103355000000001</v>
      </c>
      <c r="I12" s="14">
        <f>Dat_01!AB17*100</f>
        <v>28.065002540000002</v>
      </c>
      <c r="J12" s="138" t="s">
        <v>3</v>
      </c>
      <c r="K12" s="14" t="s">
        <v>3</v>
      </c>
      <c r="L12" s="138">
        <f>Dat_01!J17/1000</f>
        <v>4.8739999999999999E-3</v>
      </c>
      <c r="M12" s="14">
        <f>IF(Dat_01!L17*100=-100,"-",Dat_01!L17*100)</f>
        <v>13.692558899999998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3.1210000000000002E-2</v>
      </c>
      <c r="G13" s="14">
        <f>IF(Dat_01!T18=-100%,"-",Dat_01!T18*100)</f>
        <v>-77.051133100000001</v>
      </c>
      <c r="H13" s="138">
        <f>Dat_01!Z18/1000</f>
        <v>0.49944299999999997</v>
      </c>
      <c r="I13" s="14">
        <f>IF(Dat_01!AB18*100=-100,"-",Dat_01!AB18*100)</f>
        <v>-29.76344667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5.6085469999999997</v>
      </c>
      <c r="G14" s="14">
        <f>Dat_01!T21*100</f>
        <v>-42.943926310000002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0.32540249999999998</v>
      </c>
      <c r="M14" s="14">
        <f>Dat_01!L21*100</f>
        <v>-26.85488539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35.639515000000003</v>
      </c>
      <c r="G15" s="156">
        <f>((SUM(Dat_01!R8,Dat_01!R15:R18,Dat_01!R20)/SUM(Dat_01!S8,Dat_01!S15:S18,Dat_01!S20))-1)*100</f>
        <v>9.1813915737593668</v>
      </c>
      <c r="H15" s="155">
        <f>SUM(H9:H14)</f>
        <v>136.86092300000001</v>
      </c>
      <c r="I15" s="156">
        <f>((SUM(Dat_01!Z8,Dat_01!Z15:Z18,Dat_01!Z20)/SUM(Dat_01!AA8,Dat_01!AA15:AA18,Dat_01!AA20))-1)*100</f>
        <v>111.04795598364419</v>
      </c>
      <c r="J15" s="155" t="s">
        <v>3</v>
      </c>
      <c r="K15" s="156" t="s">
        <v>3</v>
      </c>
      <c r="L15" s="156">
        <f>SUM(L9:L14)</f>
        <v>0.33027649999999997</v>
      </c>
      <c r="M15" s="156">
        <f>((SUM(Dat_01!J8,Dat_01!J15:J18,Dat_01!J21)/SUM(Dat_01!K8,Dat_01!K15:K18,Dat_01!K20))-1)*100</f>
        <v>-26.46788056358599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-0.66276199999999996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4.8235140000000003</v>
      </c>
      <c r="G17" s="20">
        <f>((SUM(Dat_01!R10,Dat_01!R14)/SUM(Dat_01!S10,Dat_01!S14))-1)*100</f>
        <v>-67.861937924515516</v>
      </c>
      <c r="H17" s="139">
        <f>SUM(Dat_01!Z10,Dat_01!Z14)/1000</f>
        <v>147.631508</v>
      </c>
      <c r="I17" s="20">
        <f>((SUM(Dat_01!Z10,Dat_01!Z14)/SUM(Dat_01!AA10,Dat_01!AA14))-1)*100</f>
        <v>-2.3401231932065336</v>
      </c>
      <c r="J17" s="139">
        <f>Dat_01!B10/1000</f>
        <v>14.650563</v>
      </c>
      <c r="K17" s="20">
        <f>Dat_01!D10*100</f>
        <v>-6.6209987600000009</v>
      </c>
      <c r="L17" s="139">
        <f>Dat_01!J10/1000</f>
        <v>14.374195</v>
      </c>
      <c r="M17" s="20">
        <f>Dat_01!L10*100</f>
        <v>2.6391997600000003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23.798262999999999</v>
      </c>
      <c r="G18" s="20">
        <f>Dat_01!T11*100</f>
        <v>-26.385954379999998</v>
      </c>
      <c r="H18" s="139">
        <f>Dat_01!Z11/1000</f>
        <v>23.301410000000001</v>
      </c>
      <c r="I18" s="20">
        <f>Dat_01!AB11*100</f>
        <v>-13.66809265</v>
      </c>
      <c r="J18" s="139">
        <f>Dat_01!B11/1000</f>
        <v>0</v>
      </c>
      <c r="K18" s="20" t="str">
        <f>IF(Dat_01!D11=-100%,"-",Dat_01!D11*100)</f>
        <v>-</v>
      </c>
      <c r="L18" s="139">
        <f>Dat_01!J11/1000</f>
        <v>1.7620000000000001E-3</v>
      </c>
      <c r="M18" s="20">
        <f>IF(Dat_01!L11*100=-100,"-",Dat_01!L11*100)</f>
        <v>-14.17437896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100.186932</v>
      </c>
      <c r="I19" s="20">
        <f>Dat_01!AB12*100</f>
        <v>-15.133254490000001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28.621776999999998</v>
      </c>
      <c r="G20" s="14">
        <f>((SUM(Dat_01!R10:R12,Dat_01!R14)/SUM(Dat_01!S10:S12,Dat_01!S14))-1)*100</f>
        <v>-39.536337566893017</v>
      </c>
      <c r="H20" s="138">
        <f>SUM(H17:H19)</f>
        <v>271.11984999999999</v>
      </c>
      <c r="I20" s="14">
        <f>(H20/(H17/(I17/100+1)+H18/(I18/100+1)+H19/(I19/100+1))-1)*100</f>
        <v>-8.4708854851749287</v>
      </c>
      <c r="J20" s="138">
        <f>SUM(J17:J19)</f>
        <v>14.650563</v>
      </c>
      <c r="K20" s="14">
        <f>((SUM(Dat_01!B10:B12)/SUM(Dat_01!C10:C12))-1)*100</f>
        <v>-6.6857563924329071</v>
      </c>
      <c r="L20" s="138">
        <f>SUM(L17:L19)</f>
        <v>14.375957</v>
      </c>
      <c r="M20" s="14">
        <f>((SUM(Dat_01!J10:J12)/SUM(Dat_01!K10:K12))-1)*100</f>
        <v>2.6367353367213964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218.49136100000001</v>
      </c>
      <c r="G21" s="14">
        <f>Dat_01!T13*100</f>
        <v>-12.780508030000002</v>
      </c>
      <c r="H21" s="138">
        <f>Dat_01!Z13/1000</f>
        <v>282.95672999999999</v>
      </c>
      <c r="I21" s="14">
        <f>Dat_01!AB13*100</f>
        <v>-2.2038264299999999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3.7397489999999998</v>
      </c>
      <c r="G22" s="14">
        <f>Dat_01!T19*100</f>
        <v>24.59255666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5.6085469999999997</v>
      </c>
      <c r="G23" s="14">
        <f>Dat_01!T20*100</f>
        <v>-42.943926310000002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0.32540249999999998</v>
      </c>
      <c r="M23" s="14">
        <f>Dat_01!L20*100</f>
        <v>-26.85488539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255.79867199999998</v>
      </c>
      <c r="G24" s="156">
        <f>((SUM(Dat_01!R9:R14,Dat_01!R19,Dat_01!R21)/SUM(Dat_01!S9:S14,Dat_01!S19,Dat_01!S21))-1)*100</f>
        <v>-17.476084498359789</v>
      </c>
      <c r="H24" s="140">
        <f>SUM(H16,H20:H23)</f>
        <v>554.07657999999992</v>
      </c>
      <c r="I24" s="156">
        <f>((SUM(Dat_01!Z9:Z14,Dat_01!Z19,Dat_01!Z21)/SUM(Dat_01!AA9:AA14,Dat_01!AA19,Dat_01!AA21))-1)*100</f>
        <v>-5.3741659102129251</v>
      </c>
      <c r="J24" s="140">
        <f>SUM(J16,J20:J23)</f>
        <v>14.650563</v>
      </c>
      <c r="K24" s="156">
        <f>((SUM(Dat_01!B9:B14,Dat_01!B19,Dat_01!B21)/SUM(Dat_01!C9:C14,Dat_01!C19,Dat_01!C21))-1)*100</f>
        <v>-6.6857563924329071</v>
      </c>
      <c r="L24" s="140">
        <f>SUM(L16,L20:L23)</f>
        <v>14.701359499999999</v>
      </c>
      <c r="M24" s="156">
        <f>((SUM(Dat_01!J9:J14,Dat_01!J19,Dat_01!J21)/SUM(Dat_01!K9:K14,Dat_01!K19,Dat_01!K21))-1)*100</f>
        <v>1.7288710596120138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114.74408199999999</v>
      </c>
      <c r="G25" s="11">
        <f>Dat_01!T23*100</f>
        <v>27.870981989999997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406.18226899999996</v>
      </c>
      <c r="G26" s="8">
        <f>Dat_01!T24*100</f>
        <v>-6.0515471500000002</v>
      </c>
      <c r="H26" s="142">
        <f>Dat_01!Z24/1000</f>
        <v>690.93750299999999</v>
      </c>
      <c r="I26" s="8">
        <f>Dat_01!AB24*100</f>
        <v>6.2338495399999996</v>
      </c>
      <c r="J26" s="142">
        <f>Dat_01!B24/1000</f>
        <v>14.650563</v>
      </c>
      <c r="K26" s="8">
        <f>Dat_01!D24*100</f>
        <v>-6.6857563899999999</v>
      </c>
      <c r="L26" s="142">
        <f>Dat_01!J24/1000</f>
        <v>15.031636000000001</v>
      </c>
      <c r="M26" s="8">
        <f>Dat_01!L24*100</f>
        <v>0.87892015000000001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23" sqref="G23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Febrero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Febrero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I27" sqref="I27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Febrero 2024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Febrero 2024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2024-03-13T14:29:43Z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